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autoCompressPictures="0"/>
  <mc:AlternateContent xmlns:mc="http://schemas.openxmlformats.org/markup-compatibility/2006">
    <mc:Choice Requires="x15">
      <x15ac:absPath xmlns:x15ac="http://schemas.microsoft.com/office/spreadsheetml/2010/11/ac" url="C:\Users\Tabea\onetop Dropbox\Kunden\XBK Kabel\Kreation\PDFs\Compliance\"/>
    </mc:Choice>
  </mc:AlternateContent>
  <xr:revisionPtr revIDLastSave="0" documentId="8_{465F0D1D-988A-4FD1-803C-7B76C4000D49}"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9040" windowHeight="15840" tabRatio="789" activeTab="5"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V5" i="5"/>
  <c r="S5" i="5"/>
  <c r="T5" i="5"/>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4" i="6" a="1"/>
  <c r="G64" i="6"/>
  <c r="H64" i="6"/>
  <c r="G60" i="6"/>
  <c r="B15" i="6"/>
  <c r="B20" i="6"/>
  <c r="F23" i="6"/>
  <c r="F60" i="6"/>
  <c r="H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B24" i="6"/>
  <c r="G24" i="6"/>
  <c r="H24" i="6"/>
  <c r="F34" i="6"/>
  <c r="B34" i="6"/>
  <c r="G34" i="6"/>
  <c r="H34" i="6"/>
  <c r="F39" i="6"/>
  <c r="B39" i="6"/>
  <c r="G39" i="6"/>
  <c r="H39" i="6"/>
  <c r="F44" i="6"/>
  <c r="B44" i="6"/>
  <c r="G44" i="6"/>
  <c r="H44" i="6"/>
  <c r="B8" i="6"/>
  <c r="G8" i="6"/>
  <c r="H8" i="6"/>
  <c r="B11" i="6"/>
  <c r="G11" i="6"/>
  <c r="H11" i="6"/>
  <c r="B26" i="6"/>
  <c r="G26" i="6"/>
  <c r="B18" i="6"/>
  <c r="F26" i="6"/>
  <c r="H26" i="6"/>
  <c r="F31" i="6"/>
  <c r="B31" i="6"/>
  <c r="G31" i="6"/>
  <c r="H31" i="6"/>
  <c r="F36" i="6"/>
  <c r="B36" i="6"/>
  <c r="G36" i="6"/>
  <c r="H36" i="6"/>
  <c r="F41" i="6"/>
  <c r="B41" i="6"/>
  <c r="G41" i="6"/>
  <c r="H41" i="6"/>
  <c r="F46" i="6"/>
  <c r="B46" i="6"/>
  <c r="G46" i="6"/>
  <c r="H46" i="6"/>
  <c r="B4" i="6"/>
  <c r="G4" i="6"/>
  <c r="H4" i="6"/>
  <c r="B5" i="6"/>
  <c r="G5" i="6"/>
  <c r="H5" i="6"/>
  <c r="F6" i="6"/>
  <c r="B6" i="6"/>
  <c r="G6" i="6"/>
  <c r="H6" i="6"/>
  <c r="F59" i="6"/>
  <c r="G59" i="6"/>
  <c r="H59" i="6"/>
  <c r="B7" i="6"/>
  <c r="G7" i="6"/>
  <c r="H7" i="6"/>
  <c r="B9" i="6"/>
  <c r="G9" i="6"/>
  <c r="H9" i="6"/>
  <c r="B10" i="6"/>
  <c r="G10" i="6"/>
  <c r="H10" i="6"/>
  <c r="B13" i="6"/>
  <c r="G13" i="6"/>
  <c r="H13" i="6"/>
  <c r="B12" i="6"/>
  <c r="G12" i="6"/>
  <c r="H12" i="6"/>
  <c r="H14" i="6"/>
  <c r="B17" i="6"/>
  <c r="G17" i="6"/>
  <c r="H17" i="6"/>
  <c r="G18" i="6"/>
  <c r="H18" i="6"/>
  <c r="F25" i="6"/>
  <c r="B25" i="6"/>
  <c r="G25" i="6"/>
  <c r="H25" i="6"/>
  <c r="B29" i="6"/>
  <c r="G29" i="6"/>
  <c r="H29" i="6"/>
  <c r="F30" i="6"/>
  <c r="B30" i="6"/>
  <c r="G30" i="6"/>
  <c r="H30" i="6"/>
  <c r="F35" i="6"/>
  <c r="B35" i="6"/>
  <c r="G35" i="6"/>
  <c r="H35" i="6"/>
  <c r="F40" i="6"/>
  <c r="B40" i="6"/>
  <c r="G40" i="6"/>
  <c r="H40" i="6"/>
  <c r="F45" i="6"/>
  <c r="B45" i="6"/>
  <c r="G45" i="6"/>
  <c r="H45"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5" i="8"/>
  <c r="C5" i="3"/>
  <c r="P33" i="4"/>
  <c r="P32" i="4"/>
  <c r="P39" i="4"/>
  <c r="P38" i="4"/>
  <c r="P37" i="4"/>
  <c r="P26" i="4"/>
  <c r="S2500" i="5"/>
  <c r="R2500" i="5"/>
  <c r="J2500" i="5"/>
  <c r="I2500" i="5"/>
  <c r="H2500" i="5"/>
  <c r="G2500" i="5"/>
  <c r="F2500" i="5"/>
  <c r="P27" i="4"/>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29" i="6"/>
  <c r="D13" i="6"/>
  <c r="D12"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D35"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D30" i="6"/>
  <c r="D40" i="6"/>
  <c r="D46" i="6"/>
  <c r="D36" i="6"/>
  <c r="D26" i="6"/>
  <c r="D41"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2" i="5"/>
  <c r="F62" i="5"/>
  <c r="J62" i="5"/>
  <c r="I62" i="5"/>
  <c r="A23" i="2"/>
  <c r="I8" i="5"/>
  <c r="F11" i="5"/>
  <c r="H14" i="5"/>
  <c r="A5" i="2"/>
  <c r="C2"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c r="B20" i="4"/>
  <c r="A11" i="6"/>
  <c r="B71" i="4"/>
  <c r="A49" i="6"/>
  <c r="B4" i="5"/>
  <c r="B10" i="4"/>
  <c r="A6" i="6"/>
  <c r="B22" i="4"/>
  <c r="A13" i="6"/>
  <c r="B4" i="4"/>
  <c r="B18" i="4"/>
  <c r="A10" i="6"/>
  <c r="B55" i="4"/>
  <c r="A37"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23"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B57" i="4"/>
  <c r="A39" i="6"/>
  <c r="B63" i="4"/>
  <c r="A44" i="6"/>
  <c r="D16" i="6"/>
  <c r="K61" i="6"/>
  <c r="B75" i="4"/>
  <c r="A53" i="6"/>
  <c r="I2363" i="5"/>
  <c r="H2363" i="5"/>
  <c r="J2363" i="5"/>
  <c r="C25" i="6"/>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<sst xmlns="http://schemas.openxmlformats.org/spreadsheetml/2006/main" count="23033" uniqueCount="19216">
  <si>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</si>
  <si>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</si>
  <si>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</si>
  <si>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</si>
  <si>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</si>
  <si>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</si>
  <si>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</si>
  <si>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</si>
  <si>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</si>
  <si>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</si>
  <si>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</si>
  <si>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</si>
  <si>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</si>
  <si>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</si>
  <si>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</si>
  <si>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</si>
  <si>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</si>
  <si>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</si>
  <si>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</si>
  <si>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</si>
  <si>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</si>
  <si>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</si>
  <si>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</si>
  <si>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</si>
  <si>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</si>
  <si>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</si>
  <si>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</si>
  <si>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</si>
  <si>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</si>
  <si>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</si>
  <si>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</si>
  <si>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</si>
  <si>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</si>
  <si>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</si>
  <si>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</si>
  <si>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</si>
  <si>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</si>
  <si>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</si>
  <si>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</si>
  <si>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</si>
  <si>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</si>
  <si>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</si>
  <si>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</si>
  <si>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</si>
  <si>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</si>
  <si>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</si>
  <si>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</si>
  <si>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</si>
  <si>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</si>
  <si>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</si>
  <si>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</si>
  <si>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</si>
  <si>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</si>
  <si>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</si>
  <si>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</si>
  <si>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</si>
  <si>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</si>
  <si>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</si>
  <si>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</si>
  <si>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</si>
  <si>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</si>
  <si>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</si>
  <si>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</si>
  <si>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</si>
  <si>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</si>
  <si>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</si>
  <si>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</si>
  <si>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</si>
  <si>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</si>
  <si>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</si>
  <si>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</si>
  <si>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</si>
  <si>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</si>
  <si>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</si>
  <si>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</si>
  <si>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</si>
  <si>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</si>
  <si>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</si>
  <si>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</si>
  <si>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</si>
  <si>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</si>
  <si>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</si>
  <si>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</si>
  <si>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</si>
  <si>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</si>
  <si>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</si>
  <si>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</si>
  <si>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</si>
  <si>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</si>
  <si>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</si>
  <si>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</si>
  <si>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</si>
  <si>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</si>
  <si>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</si>
  <si>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</si>
  <si>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</si>
  <si>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</si>
  <si>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</si>
  <si>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</si>
  <si>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</si>
  <si>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</si>
  <si>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</si>
  <si>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</si>
  <si>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</si>
  <si>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</si>
  <si>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</si>
  <si>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</si>
  <si>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</si>
  <si>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</si>
  <si>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</si>
  <si>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</si>
  <si>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</si>
  <si>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</si>
  <si>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</si>
  <si>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</si>
  <si>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</si>
  <si>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</si>
  <si>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</si>
  <si>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</si>
  <si>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</si>
  <si>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</si>
  <si>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</si>
  <si>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</si>
  <si>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</si>
  <si>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</si>
  <si>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</si>
  <si>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</si>
  <si>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</si>
  <si>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</si>
  <si>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</si>
  <si>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</si>
  <si>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</si>
  <si>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</si>
  <si>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</si>
  <si>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</si>
  <si>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</si>
  <si>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</si>
  <si>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</si>
  <si>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</si>
  <si>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</si>
  <si>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</si>
  <si>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</si>
  <si>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</si>
  <si>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</si>
  <si>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</si>
  <si>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</si>
  <si>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</si>
  <si>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</si>
  <si>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</si>
  <si>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</si>
  <si>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</si>
  <si>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</si>
  <si>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</si>
  <si>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</si>
  <si>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</si>
  <si>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</si>
  <si>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</si>
  <si>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</si>
  <si>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</si>
  <si>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</si>
  <si>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</si>
  <si>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</si>
  <si>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</si>
  <si>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</si>
  <si>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</si>
  <si>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</si>
  <si>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</si>
  <si>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</si>
  <si>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</si>
  <si>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</si>
  <si>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</si>
  <si>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</si>
  <si>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</si>
  <si>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</si>
  <si>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</si>
  <si>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</si>
  <si>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</si>
  <si>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</si>
  <si>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</si>
  <si>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</si>
  <si>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</si>
  <si>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</si>
  <si>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</si>
  <si>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</si>
  <si>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</si>
  <si>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</si>
  <si>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</si>
  <si>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</si>
  <si>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</si>
  <si>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</si>
  <si>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</si>
  <si>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</si>
  <si>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</si>
  <si>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</si>
  <si>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</si>
  <si>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</si>
  <si>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</si>
  <si>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</si>
  <si>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</si>
  <si>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</si>
  <si>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</si>
  <si>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</si>
  <si>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</si>
  <si>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</si>
  <si>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</si>
  <si>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</si>
  <si>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</si>
  <si>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</si>
  <si>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</si>
  <si>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</si>
  <si>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</si>
  <si>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</si>
  <si>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</si>
  <si>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</si>
  <si>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</si>
  <si>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</si>
  <si>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</si>
  <si>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</si>
  <si>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</si>
  <si>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</si>
  <si>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</si>
  <si>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</si>
  <si>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</si>
  <si>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</si>
  <si>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</si>
  <si>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</si>
  <si>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</si>
  <si>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</si>
  <si>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</si>
  <si>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</si>
  <si>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</si>
  <si>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</si>
  <si>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</si>
  <si>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</si>
  <si>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</si>
  <si>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</si>
  <si>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</si>
  <si>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</si>
  <si>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</si>
  <si>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</si>
  <si>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</si>
  <si>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</si>
  <si>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</si>
  <si>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</si>
  <si>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</si>
  <si>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</si>
  <si>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</si>
  <si>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</si>
  <si>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</si>
  <si>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</si>
  <si>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</si>
  <si>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</si>
  <si>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</si>
  <si>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</si>
  <si>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</si>
  <si>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</si>
  <si>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</si>
  <si>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</si>
  <si>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</si>
  <si>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</si>
  <si>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</si>
  <si>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</si>
  <si>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</si>
  <si>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</si>
  <si>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</si>
  <si>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</si>
  <si>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</si>
  <si>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</si>
  <si>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</si>
  <si>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</si>
  <si>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</si>
  <si>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</si>
  <si>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</si>
  <si>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</si>
  <si>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</si>
  <si>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</si>
  <si>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</si>
  <si>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</si>
  <si>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</si>
  <si>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</si>
  <si>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</si>
  <si>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</si>
  <si>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</si>
  <si>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</si>
  <si>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</si>
  <si>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</si>
  <si>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</si>
  <si>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</si>
  <si>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</si>
  <si>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</si>
  <si>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</si>
  <si>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</si>
  <si>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</si>
  <si>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</si>
  <si>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</si>
  <si>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</si>
  <si>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</si>
  <si>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</si>
  <si>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</si>
  <si>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</si>
  <si>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</si>
  <si>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</si>
  <si>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</si>
  <si>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</si>
  <si>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</si>
  <si>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</si>
  <si>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</si>
  <si>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</si>
  <si>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</si>
  <si>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</si>
  <si>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</si>
  <si>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</si>
  <si>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</si>
  <si>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</si>
  <si>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</si>
  <si>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</si>
  <si>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</si>
  <si>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</si>
  <si>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</si>
  <si>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</si>
  <si>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</si>
  <si>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</si>
  <si>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</si>
  <si>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</si>
  <si>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</si>
  <si>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</si>
  <si>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</si>
  <si>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</si>
  <si>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</si>
  <si>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</si>
  <si>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</si>
  <si>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</si>
  <si>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</si>
  <si>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</si>
  <si>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</si>
  <si>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</si>
  <si>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</si>
  <si>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</si>
  <si>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</si>
  <si>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</si>
  <si>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</si>
  <si>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</si>
  <si>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</si>
  <si>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</si>
  <si>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</si>
  <si>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</si>
  <si>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</si>
  <si>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</si>
  <si>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</si>
  <si>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</si>
  <si>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</si>
  <si>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</si>
  <si>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</si>
  <si>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</si>
  <si>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</si>
  <si>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</si>
  <si>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</si>
  <si>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</si>
  <si>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</si>
  <si>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</si>
  <si>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</si>
  <si>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</si>
  <si>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</si>
  <si>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</si>
  <si>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</si>
  <si>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</si>
  <si>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</si>
  <si>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</si>
  <si>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</si>
  <si>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</si>
  <si>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</si>
  <si>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</si>
  <si>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</si>
  <si>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</si>
  <si>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</si>
  <si>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</si>
  <si>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</si>
  <si>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</si>
  <si>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</si>
  <si>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</si>
  <si>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</si>
  <si>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</si>
  <si>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</si>
  <si>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</si>
  <si>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</si>
  <si>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</si>
  <si>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</si>
  <si>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</si>
  <si>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</si>
  <si>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</si>
  <si>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</si>
  <si>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</si>
  <si>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</si>
  <si>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</si>
  <si>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</si>
  <si>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</si>
  <si>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</si>
  <si>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</si>
  <si>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</si>
  <si>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</si>
  <si>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</si>
  <si>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</si>
  <si>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</si>
  <si>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</si>
  <si>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</si>
  <si>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</si>
  <si>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</si>
  <si>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</si>
  <si>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</si>
  <si>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</si>
  <si>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</si>
  <si>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</si>
  <si>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</si>
  <si>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</si>
  <si>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</si>
  <si>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</si>
  <si>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</si>
  <si>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</si>
  <si>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</si>
  <si>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</si>
  <si>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</si>
  <si>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</si>
  <si>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</si>
  <si>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</si>
  <si>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</si>
  <si>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</si>
  <si>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</si>
  <si>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</si>
  <si>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</si>
  <si>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</si>
  <si>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</si>
  <si>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</si>
  <si>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</si>
  <si>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</si>
  <si>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</si>
  <si>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</si>
  <si>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</si>
  <si>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</si>
  <si>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</si>
  <si>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</si>
  <si>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</si>
  <si>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</si>
  <si>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</si>
  <si>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</si>
  <si>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</si>
  <si>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</si>
  <si>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</si>
  <si>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</si>
  <si>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</si>
  <si>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</si>
  <si>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</si>
  <si>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</si>
  <si>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</si>
  <si>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</si>
  <si>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</si>
  <si>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</si>
  <si>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</si>
  <si>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</si>
  <si>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</si>
  <si>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</si>
  <si>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</si>
  <si>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</si>
  <si>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</si>
  <si>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</si>
  <si>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</si>
  <si>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</si>
  <si>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</si>
  <si>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</si>
  <si>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</si>
  <si>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</si>
  <si>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</si>
  <si>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</si>
  <si>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</si>
  <si>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</si>
  <si>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</si>
  <si>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</si>
  <si>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</si>
  <si>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</si>
  <si>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</si>
  <si>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</si>
  <si>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</si>
  <si>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</si>
  <si>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</si>
  <si>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</si>
  <si>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</si>
  <si>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</si>
  <si>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</si>
  <si>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</si>
  <si>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</si>
  <si>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</si>
  <si>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</si>
  <si>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</si>
  <si>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</si>
  <si>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</si>
  <si>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</si>
  <si>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</si>
  <si>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</si>
  <si>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</si>
  <si>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</si>
  <si>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</si>
  <si>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</si>
  <si>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</si>
  <si>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</si>
  <si>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</si>
  <si>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</si>
  <si>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</si>
  <si>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</si>
  <si>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</si>
  <si>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</si>
  <si>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</si>
  <si>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</si>
  <si>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</si>
  <si>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</si>
  <si>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</si>
  <si>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</si>
  <si>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</si>
  <si>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</si>
  <si>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</si>
  <si>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</si>
  <si>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</si>
  <si>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</si>
  <si>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</si>
  <si>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</si>
  <si>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</si>
  <si>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</si>
  <si>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</si>
  <si>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</si>
  <si>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</si>
  <si>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</si>
  <si>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</si>
  <si>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</si>
  <si>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</si>
  <si>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</si>
  <si>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</si>
  <si>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</si>
  <si>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</si>
  <si>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</si>
  <si>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</si>
  <si>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</si>
  <si>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</si>
  <si>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</si>
  <si>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</si>
  <si>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</si>
  <si>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</si>
  <si>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</si>
  <si>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</si>
  <si>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</si>
  <si>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</si>
  <si>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</si>
  <si>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</si>
  <si>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</si>
  <si>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</si>
  <si>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</si>
  <si>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</si>
  <si>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</si>
  <si>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</si>
  <si>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</si>
  <si>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</si>
  <si>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</si>
  <si>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</si>
  <si>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</si>
  <si>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</si>
  <si>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</si>
  <si>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</si>
  <si>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</si>
  <si>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</si>
  <si>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</si>
  <si>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</si>
  <si>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</si>
  <si>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</si>
  <si>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</si>
  <si>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</si>
  <si>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</si>
  <si>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</si>
  <si>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</si>
  <si>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</si>
  <si>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</si>
  <si>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</si>
  <si>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</si>
  <si>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</si>
  <si>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</si>
  <si>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</si>
  <si>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</si>
  <si>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</si>
  <si>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</si>
  <si>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</si>
  <si>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</si>
  <si>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</si>
  <si>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</si>
  <si>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</si>
  <si>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</si>
  <si>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</si>
  <si>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</si>
  <si>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</si>
  <si>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</si>
  <si>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</si>
  <si>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</si>
  <si>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</si>
  <si>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</si>
  <si>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</si>
  <si>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</si>
  <si>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</si>
  <si>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</si>
  <si>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</si>
  <si>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</si>
  <si>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</si>
  <si>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</si>
  <si>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</si>
  <si>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</si>
  <si>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</si>
  <si>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</si>
  <si>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</si>
  <si>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</si>
  <si>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</si>
  <si>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</si>
  <si>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</si>
  <si>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</si>
  <si>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</si>
  <si>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</si>
  <si>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</si>
  <si>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</si>
  <si>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</si>
  <si>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</si>
  <si>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</si>
  <si>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</si>
  <si>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</si>
  <si>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</si>
  <si>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</si>
  <si>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</si>
  <si>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</si>
  <si>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</si>
  <si>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</si>
  <si>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</si>
  <si>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</si>
  <si>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</si>
  <si>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</si>
  <si>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</si>
  <si>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</si>
  <si>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</si>
  <si>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</si>
  <si>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</si>
  <si>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</si>
  <si>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</si>
  <si>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</si>
  <si>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</si>
  <si>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</si>
  <si>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</si>
  <si>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</si>
  <si>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</si>
  <si>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</si>
  <si>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</si>
  <si>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</si>
  <si>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</si>
  <si>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</si>
  <si>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</si>
  <si>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</si>
  <si>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</si>
  <si>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</si>
  <si>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</si>
  <si>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</si>
  <si>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</si>
  <si>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</si>
  <si>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</si>
  <si>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</si>
  <si>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</si>
  <si>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</si>
  <si>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</si>
  <si>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</si>
  <si>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</si>
  <si>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</si>
  <si>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</si>
  <si>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</si>
  <si>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</si>
  <si>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</si>
  <si>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</si>
  <si>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</si>
  <si>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</si>
  <si>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</si>
  <si>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</si>
  <si>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</si>
  <si>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</si>
  <si>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</si>
  <si>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</si>
  <si>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</si>
  <si>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</si>
  <si>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</si>
  <si>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</si>
  <si>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</si>
  <si>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</si>
  <si>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</si>
  <si>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</si>
  <si>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</si>
  <si>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</si>
  <si>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</si>
  <si>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</si>
  <si>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</si>
  <si>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</si>
  <si>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</si>
  <si>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</si>
  <si>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</si>
  <si>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</si>
  <si>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</si>
  <si>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</si>
  <si>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</si>
  <si>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</si>
  <si>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</si>
  <si>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</si>
  <si>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</si>
  <si>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</si>
  <si>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</si>
  <si>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</si>
  <si>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</si>
  <si>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</si>
  <si>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</si>
  <si>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</si>
  <si>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</si>
  <si>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</si>
  <si>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</si>
  <si>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</si>
  <si>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</si>
  <si>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</si>
  <si>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</si>
  <si>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</si>
  <si>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</si>
  <si>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</si>
  <si>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</si>
  <si>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</si>
  <si>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</si>
  <si>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</si>
  <si>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</si>
  <si>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</si>
  <si>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</si>
  <si>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</si>
  <si>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</si>
  <si>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</si>
  <si>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</si>
  <si>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</si>
  <si>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</si>
  <si>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</si>
  <si>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</si>
  <si>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</si>
  <si>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</si>
  <si>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</si>
  <si>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</si>
  <si>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</si>
  <si>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</si>
  <si>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</si>
  <si>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</si>
  <si>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</si>
  <si>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</si>
  <si>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</si>
  <si>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</si>
  <si>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</si>
  <si>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</si>
  <si>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</si>
  <si>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</si>
  <si>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</si>
  <si>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</si>
  <si>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</si>
  <si>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</si>
  <si>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</si>
  <si>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</si>
  <si>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</si>
  <si>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</si>
  <si>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</si>
  <si>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</si>
  <si>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</si>
  <si>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</si>
  <si>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</si>
  <si>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</si>
  <si>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</si>
  <si>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</si>
  <si>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</si>
  <si>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</si>
  <si>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</si>
  <si>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</si>
  <si>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</si>
  <si>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</si>
  <si>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</si>
  <si>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</si>
  <si>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</si>
  <si>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</si>
  <si>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</si>
  <si>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</si>
  <si>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</si>
  <si>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</si>
  <si>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</si>
  <si>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</si>
  <si>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</si>
  <si>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</si>
  <si>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</si>
  <si>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</si>
  <si>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</si>
  <si>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</si>
  <si>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</si>
  <si>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</si>
  <si>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</si>
  <si>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</si>
  <si>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</si>
  <si>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</si>
  <si>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</si>
  <si>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</si>
  <si>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</si>
  <si>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</si>
  <si>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</si>
  <si>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</si>
  <si>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</si>
  <si>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</si>
  <si>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</si>
  <si>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</si>
  <si>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</si>
  <si>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</si>
  <si>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</si>
  <si>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</si>
  <si>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</si>
  <si>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</si>
  <si>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</si>
  <si>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</si>
  <si>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</si>
  <si>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</si>
  <si>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</si>
  <si>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</si>
  <si>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</si>
  <si>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</si>
  <si>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</si>
  <si>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</si>
  <si>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</si>
  <si>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</si>
  <si>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</si>
  <si>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</si>
  <si>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</si>
  <si>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</si>
  <si>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</si>
  <si>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</si>
  <si>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</si>
  <si>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</si>
  <si>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</si>
  <si>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</si>
  <si>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</si>
  <si>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</si>
  <si>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</si>
  <si>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</si>
  <si>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</si>
  <si>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</si>
  <si>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</si>
  <si>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</si>
  <si>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</si>
  <si>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</si>
  <si>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</si>
  <si>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</si>
  <si>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</si>
  <si>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</si>
  <si>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</si>
  <si>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</si>
  <si>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</si>
  <si>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</si>
  <si>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</si>
  <si>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</si>
  <si>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</si>
  <si>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</si>
  <si>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</si>
  <si>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</si>
  <si>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</si>
  <si>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</si>
  <si>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</si>
  <si>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</si>
  <si>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</si>
  <si>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</si>
  <si>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</si>
  <si>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</si>
  <si>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</si>
  <si>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</si>
  <si>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</si>
  <si>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</si>
  <si>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</si>
  <si>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</si>
  <si>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</si>
  <si>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</si>
  <si>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</si>
  <si>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</si>
  <si>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</si>
  <si>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</si>
  <si>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</si>
  <si>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</si>
  <si>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</si>
  <si>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</si>
  <si>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</si>
  <si>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</si>
  <si>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</si>
  <si>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</si>
  <si>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</si>
  <si>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</si>
  <si>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</si>
  <si>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</si>
  <si>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</si>
  <si>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</si>
  <si>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</si>
  <si>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</si>
  <si>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</si>
  <si>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</si>
  <si>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</si>
  <si>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</si>
  <si>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</si>
  <si>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</si>
  <si>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</si>
  <si>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</si>
  <si>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</si>
  <si>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</si>
  <si>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</si>
  <si>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</si>
  <si>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</si>
  <si>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</si>
  <si>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</si>
  <si>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</si>
  <si>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</si>
  <si>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</si>
  <si>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</si>
  <si>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</si>
  <si>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</si>
  <si>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</si>
  <si>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</si>
  <si>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</si>
  <si>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</si>
  <si>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</si>
  <si>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</si>
  <si>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</si>
  <si>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</si>
  <si>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</si>
  <si>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</si>
  <si>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</si>
  <si>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</si>
  <si>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</si>
  <si>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</si>
  <si>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</si>
  <si>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</si>
  <si>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</si>
  <si>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</si>
  <si>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</si>
  <si>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</si>
  <si>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</si>
  <si>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</si>
  <si>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</si>
  <si>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</si>
  <si>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</si>
  <si>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</si>
  <si>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</si>
  <si>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</si>
  <si>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</si>
  <si>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</si>
  <si>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</si>
  <si>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</si>
  <si>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</si>
  <si>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</si>
  <si>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</si>
  <si>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</si>
  <si>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</si>
  <si>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</si>
  <si>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</si>
  <si>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</si>
  <si>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</si>
  <si>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</si>
  <si>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</si>
  <si>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</si>
  <si>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</si>
  <si>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</si>
  <si>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</si>
  <si>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</si>
  <si>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</si>
  <si>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</si>
  <si>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</si>
  <si>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</si>
  <si>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</si>
  <si>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</si>
  <si>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</si>
  <si>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</si>
  <si>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</si>
  <si>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</si>
  <si>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</si>
  <si>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</si>
  <si>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</si>
  <si>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</si>
  <si>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</si>
  <si>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</si>
  <si>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</si>
  <si>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</si>
  <si>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</si>
  <si>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</si>
  <si>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</si>
  <si>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</si>
  <si>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</si>
  <si>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</si>
  <si>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</si>
  <si>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</si>
  <si>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</si>
  <si>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</si>
  <si>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</si>
  <si>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</si>
  <si>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</si>
  <si>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</si>
  <si>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</si>
  <si>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</si>
  <si>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</si>
  <si>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</si>
  <si>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</si>
  <si>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</si>
  <si>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</si>
  <si>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</si>
  <si>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</si>
  <si>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</si>
  <si>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</si>
  <si>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</si>
  <si>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</si>
  <si>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</si>
  <si>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</si>
  <si>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</si>
  <si>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</si>
  <si>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</si>
  <si>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</si>
  <si>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</si>
  <si>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</si>
  <si>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</si>
  <si>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</si>
  <si>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</si>
  <si>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</si>
  <si>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</si>
  <si>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</si>
  <si>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</si>
  <si>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</si>
  <si>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</si>
  <si>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</si>
  <si>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</si>
  <si>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</si>
  <si>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</si>
  <si>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</si>
  <si>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</si>
  <si>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</si>
  <si>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</si>
  <si>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</si>
  <si>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</si>
  <si>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</si>
  <si>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</si>
  <si>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</si>
  <si>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</si>
  <si>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</si>
  <si>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</si>
  <si>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</si>
  <si>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</si>
  <si>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</si>
  <si>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</si>
  <si>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</si>
  <si>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</si>
  <si>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</si>
  <si>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</si>
  <si>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</si>
  <si>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</si>
  <si>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</si>
  <si>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</si>
  <si>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</si>
  <si>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</si>
  <si>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</si>
  <si>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</si>
  <si>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</si>
  <si>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</si>
  <si>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</si>
  <si>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</si>
  <si>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</si>
  <si>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</si>
  <si>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</si>
  <si>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</si>
  <si>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</si>
  <si>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</si>
  <si>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</si>
  <si>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</si>
  <si>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</si>
  <si>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</si>
  <si>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</si>
  <si>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</si>
  <si>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</si>
  <si>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</si>
  <si>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</si>
  <si>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</si>
  <si>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</si>
  <si>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</si>
  <si>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</si>
  <si>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</si>
  <si>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</si>
  <si>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</si>
  <si>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</si>
  <si>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</si>
  <si>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</si>
  <si>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</si>
  <si>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</si>
  <si>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</si>
  <si>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</si>
  <si>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</si>
  <si>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</si>
  <si>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</si>
  <si>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</si>
  <si>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</si>
  <si>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</si>
  <si>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</si>
  <si>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</si>
  <si>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</si>
  <si>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</si>
  <si>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</si>
  <si>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</si>
  <si>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</si>
  <si>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</si>
  <si>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</si>
  <si>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</si>
  <si>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</si>
  <si>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</si>
  <si>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</si>
  <si>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</si>
  <si>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</si>
  <si>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</si>
  <si>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</si>
  <si>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</si>
  <si>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</si>
  <si>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</si>
  <si>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</si>
  <si>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</si>
  <si>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</si>
  <si>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</si>
  <si>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</si>
  <si>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</si>
  <si>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</si>
  <si>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</si>
  <si>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</si>
  <si>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</si>
  <si>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</si>
  <si>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</si>
  <si>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</si>
  <si>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</si>
  <si>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</si>
  <si>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</si>
  <si>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</si>
  <si>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</si>
  <si>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</si>
  <si>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</si>
  <si>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</si>
  <si>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</si>
  <si>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</si>
  <si>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</si>
  <si>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</si>
  <si>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</si>
  <si>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</si>
  <si>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</si>
  <si>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</si>
  <si>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</si>
  <si>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</si>
  <si>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</si>
  <si>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</si>
  <si>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</si>
  <si>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</si>
  <si>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</si>
  <si>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</si>
  <si>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</si>
  <si>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</si>
  <si>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</si>
  <si>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</si>
  <si>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</si>
  <si>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</si>
  <si>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</si>
  <si>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</si>
  <si>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</si>
  <si>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</si>
  <si>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</si>
  <si>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</si>
  <si>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</si>
  <si>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</si>
  <si>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</si>
  <si>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</si>
  <si>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</si>
  <si>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</si>
  <si>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</si>
  <si>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</si>
  <si>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</si>
  <si>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</si>
  <si>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</si>
  <si>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</si>
  <si>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</si>
  <si>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</si>
  <si>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</si>
  <si>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</si>
  <si>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</si>
  <si>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</si>
  <si>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</si>
  <si>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</si>
  <si>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</si>
  <si>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</si>
  <si>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</si>
  <si>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</si>
  <si>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</si>
  <si>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</si>
  <si>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</si>
  <si>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</si>
  <si>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</si>
  <si>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</si>
  <si>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</si>
  <si>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</si>
  <si>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</si>
  <si>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</si>
  <si>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</si>
  <si>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</si>
  <si>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</si>
  <si>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</si>
  <si>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</si>
  <si>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</si>
  <si>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</si>
  <si>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</si>
  <si>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</si>
  <si>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</si>
  <si>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</si>
  <si>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</si>
  <si>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</si>
  <si>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</si>
  <si>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</si>
  <si>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</si>
  <si>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</si>
  <si>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</si>
  <si>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</si>
  <si>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</si>
  <si>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</si>
  <si>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</si>
  <si>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</si>
  <si>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</si>
  <si>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</si>
  <si>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</si>
  <si>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</si>
  <si>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</si>
  <si>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</si>
  <si>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</si>
  <si>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</si>
  <si>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</si>
  <si>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</si>
  <si>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</si>
  <si>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</si>
  <si>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</si>
  <si>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</si>
  <si>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</si>
  <si>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</si>
  <si>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</si>
  <si>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</si>
  <si>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</si>
  <si>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</si>
  <si>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</si>
  <si>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</si>
  <si>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</si>
  <si>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</si>
  <si>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</si>
  <si>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</si>
  <si>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</si>
  <si>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</si>
  <si>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</si>
  <si>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</si>
  <si>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</si>
  <si>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</si>
  <si>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</si>
  <si>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</si>
  <si>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</si>
  <si>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</si>
  <si>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</si>
  <si>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</si>
  <si>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</si>
  <si>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</si>
  <si>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</si>
  <si>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</si>
  <si>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</si>
  <si>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</si>
  <si>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</si>
  <si>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</si>
  <si>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</si>
  <si>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</si>
  <si>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</si>
  <si>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</si>
  <si>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</si>
  <si>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</si>
  <si>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</si>
  <si>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</si>
  <si>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</si>
  <si>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</si>
  <si>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</si>
  <si>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</si>
  <si>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</si>
  <si>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</si>
  <si>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</si>
  <si>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</si>
  <si>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</si>
  <si>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</si>
  <si>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</si>
  <si>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</si>
  <si>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</si>
  <si>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</si>
  <si>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</si>
  <si>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</si>
  <si>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</si>
  <si>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</si>
  <si>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</si>
  <si>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</si>
  <si>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</si>
  <si>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</si>
  <si>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</si>
  <si>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</si>
  <si>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</si>
  <si>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</si>
  <si>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</si>
  <si>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</si>
  <si>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</si>
  <si>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</si>
  <si>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</si>
  <si>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</si>
  <si>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</si>
  <si>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</si>
  <si>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</si>
  <si>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</si>
  <si>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</si>
  <si>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</si>
  <si>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</si>
  <si>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</si>
  <si>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</si>
  <si>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</si>
  <si>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</si>
  <si>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</si>
  <si>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</si>
  <si>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</si>
  <si>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</si>
  <si>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</si>
  <si>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</si>
  <si>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</si>
  <si>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</si>
  <si>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</si>
  <si>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</si>
  <si>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</si>
  <si>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</si>
  <si>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</si>
  <si>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</si>
  <si>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</si>
  <si>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</si>
  <si>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</si>
  <si>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</si>
  <si>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</si>
  <si>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</si>
  <si>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</si>
  <si>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</si>
  <si>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</si>
  <si>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</si>
  <si>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</si>
  <si>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</si>
  <si>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</si>
  <si>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</si>
  <si>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</si>
  <si>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</si>
  <si>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</si>
  <si>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</si>
  <si>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</si>
  <si>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</si>
  <si>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</si>
  <si>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</si>
  <si>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</si>
  <si>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</si>
  <si>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</si>
  <si>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</si>
  <si>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</si>
  <si>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</si>
  <si>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</si>
  <si>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</si>
  <si>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</si>
  <si>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</si>
  <si>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</si>
  <si>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</si>
  <si>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</si>
  <si>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</si>
  <si>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</si>
  <si>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</si>
  <si>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</si>
  <si>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</si>
  <si>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</si>
  <si>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</si>
  <si>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</si>
  <si>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</si>
  <si>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</si>
  <si>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</si>
  <si>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</si>
  <si>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</si>
  <si>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</si>
  <si>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</si>
  <si>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</si>
  <si>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</si>
  <si>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</si>
  <si>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</si>
  <si>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</si>
  <si>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</si>
  <si>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</si>
  <si>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</si>
  <si>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</si>
  <si>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</si>
  <si>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</si>
  <si>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</si>
  <si>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</si>
  <si>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</si>
  <si>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</si>
  <si>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</si>
  <si>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</si>
  <si>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</si>
  <si>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</si>
  <si>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</si>
  <si>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</si>
  <si>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</si>
  <si>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</si>
  <si>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</si>
  <si>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</si>
  <si>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</si>
  <si>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</si>
  <si>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</si>
  <si>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</si>
  <si>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</si>
  <si>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</si>
  <si>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</si>
  <si>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</si>
  <si>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</si>
  <si>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</si>
  <si>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</si>
  <si>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</si>
  <si>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</si>
  <si>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</si>
  <si>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</si>
  <si>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</si>
  <si>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</si>
  <si>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</si>
  <si>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</si>
  <si>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</si>
  <si>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</si>
  <si>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</si>
  <si>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</si>
  <si>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</si>
  <si>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</si>
  <si>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</si>
  <si>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</si>
  <si>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</si>
  <si>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</si>
  <si>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</si>
  <si>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</si>
  <si>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</si>
  <si>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</si>
  <si>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</si>
  <si>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</si>
  <si>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</si>
  <si>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</si>
  <si>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</si>
  <si>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</si>
  <si>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</si>
  <si>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</si>
  <si>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</si>
  <si>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</si>
  <si>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</si>
  <si>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</si>
  <si>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</si>
  <si>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</si>
  <si>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</si>
  <si>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</si>
  <si>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</si>
  <si>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</si>
  <si>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</si>
  <si>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</si>
  <si>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</si>
  <si>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</si>
  <si>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</si>
  <si>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</si>
  <si>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</si>
  <si>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</si>
  <si>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</si>
  <si>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</si>
  <si>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</si>
  <si>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</si>
  <si>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</si>
  <si>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</si>
  <si>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</si>
  <si>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</si>
  <si>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</si>
  <si>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</si>
  <si>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</si>
  <si>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</si>
  <si>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</si>
  <si>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</si>
  <si>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</si>
  <si>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</si>
  <si>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</si>
  <si>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</si>
  <si>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</si>
  <si>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</si>
  <si>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</si>
  <si>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</si>
  <si>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</si>
  <si>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</si>
  <si>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</si>
  <si>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</si>
  <si>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</si>
  <si>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</si>
  <si>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</si>
  <si>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</si>
  <si>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</si>
  <si>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</si>
  <si>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</si>
  <si>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</si>
  <si>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</si>
  <si>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</si>
  <si>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</si>
  <si>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</si>
  <si>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</si>
  <si>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</si>
  <si>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</si>
  <si>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</si>
  <si>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</si>
  <si>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</si>
  <si>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</si>
  <si>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</si>
  <si>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</si>
  <si>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</si>
  <si>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</si>
  <si>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</si>
  <si>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</si>
  <si>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</si>
  <si>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</si>
  <si>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</si>
  <si>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</si>
  <si>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</si>
  <si>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</si>
  <si>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</si>
  <si>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</si>
  <si>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</si>
  <si>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</si>
  <si>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</si>
  <si>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</si>
  <si>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</si>
  <si>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</si>
  <si>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</si>
  <si>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</si>
  <si>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</si>
  <si>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</si>
  <si>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</si>
  <si>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</si>
  <si>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</si>
  <si>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</si>
  <si>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</si>
  <si>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</si>
  <si>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</si>
  <si>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</si>
  <si>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</si>
  <si>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</si>
  <si>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</si>
  <si>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</si>
  <si>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</si>
  <si>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</si>
  <si>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</si>
  <si>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</si>
  <si>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</si>
  <si>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</si>
  <si>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</si>
  <si>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</si>
  <si>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</si>
  <si>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</si>
  <si>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</si>
  <si>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</si>
  <si>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</si>
  <si>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</si>
  <si>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</si>
  <si>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</si>
  <si>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</si>
  <si>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</si>
  <si>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</si>
  <si>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</si>
  <si>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</si>
  <si>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</si>
  <si>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</si>
  <si>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</si>
  <si>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</si>
  <si>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</si>
  <si>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</si>
  <si>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</si>
  <si>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</si>
  <si>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</si>
  <si>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</si>
  <si>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</si>
  <si>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</si>
  <si>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</si>
  <si>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</si>
  <si>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</si>
  <si>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</si>
  <si>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</si>
  <si>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</si>
  <si>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</si>
  <si>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</si>
  <si>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</si>
  <si>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</si>
  <si>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</si>
  <si>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</si>
  <si>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</si>
  <si>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</si>
  <si>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</si>
  <si>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</si>
  <si>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</si>
  <si>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</si>
  <si>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</si>
  <si>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</si>
  <si>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</si>
  <si>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</si>
  <si>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</si>
  <si>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</si>
  <si>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</si>
  <si>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</si>
  <si>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</si>
  <si>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</si>
  <si>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</si>
  <si>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</si>
  <si>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</si>
  <si>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</si>
  <si>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</si>
  <si>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</si>
  <si>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</si>
  <si>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</si>
  <si>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</si>
  <si>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</si>
  <si>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</si>
  <si>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</si>
  <si>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</si>
  <si>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</si>
  <si>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</si>
  <si>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</si>
  <si>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</si>
  <si>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</si>
  <si>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</si>
  <si>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</si>
  <si>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</si>
  <si>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</si>
  <si>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</si>
  <si>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</si>
  <si>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</si>
  <si>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</si>
  <si>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</si>
  <si>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</si>
  <si>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</si>
  <si>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</si>
  <si>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</si>
  <si>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</si>
  <si>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</si>
  <si>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</si>
  <si>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</si>
  <si>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</si>
  <si>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</si>
  <si>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</si>
  <si>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</si>
  <si>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</si>
  <si>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</si>
  <si>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</si>
  <si>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</si>
  <si>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</si>
  <si>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</si>
  <si>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</si>
  <si>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</si>
  <si>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</si>
  <si>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</si>
  <si>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</si>
  <si>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</si>
  <si>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</si>
  <si>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</si>
  <si>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</si>
  <si>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</si>
  <si>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</si>
  <si>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</si>
  <si>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</si>
  <si>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</si>
  <si>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</si>
  <si>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</si>
  <si>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</si>
  <si>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</si>
  <si>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</si>
  <si>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</si>
  <si>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</si>
  <si>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</si>
  <si>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</si>
  <si>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</si>
  <si>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</si>
  <si>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</si>
  <si>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</si>
  <si>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</si>
  <si>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</si>
  <si>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</si>
  <si>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</si>
  <si>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</si>
  <si>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</si>
  <si>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</si>
  <si>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</si>
  <si>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</si>
  <si>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</si>
  <si>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</si>
  <si>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</si>
  <si>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</si>
  <si>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</si>
  <si>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</si>
  <si>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</si>
  <si>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</si>
  <si>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</si>
  <si>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</si>
  <si>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</si>
  <si>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</si>
  <si>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</si>
  <si>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</si>
  <si>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</si>
  <si>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</si>
  <si>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</si>
  <si>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</si>
  <si>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</si>
  <si>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</si>
  <si>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</si>
  <si>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</si>
  <si>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</si>
  <si>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</si>
  <si>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</si>
  <si>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</si>
  <si>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</si>
  <si>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</si>
  <si>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</si>
  <si>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</si>
  <si>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</si>
  <si>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</si>
  <si>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</si>
  <si>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</si>
  <si>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</si>
  <si>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</si>
  <si>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</si>
  <si>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</si>
  <si>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</si>
  <si>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</si>
  <si>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</si>
  <si>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</si>
  <si>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</si>
  <si>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</si>
  <si>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</si>
  <si>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</si>
  <si>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</si>
  <si>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</si>
  <si>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</si>
  <si>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</si>
  <si>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</si>
  <si>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</si>
  <si>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</si>
  <si>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</si>
  <si>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</si>
  <si>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</si>
  <si>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</si>
  <si>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</si>
  <si>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</si>
  <si>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</si>
  <si>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</si>
  <si>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</si>
  <si>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</si>
  <si>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</si>
  <si>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</si>
  <si>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</si>
  <si>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</si>
  <si>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</si>
  <si>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</si>
  <si>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</si>
  <si>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</si>
  <si>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</si>
  <si>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</si>
  <si>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</si>
  <si>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</si>
  <si>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</si>
  <si>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</si>
  <si>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</si>
  <si>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</si>
  <si>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</si>
  <si>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</si>
  <si>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</si>
  <si>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</si>
  <si>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</si>
  <si>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</si>
  <si>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</si>
  <si>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</si>
  <si>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</si>
  <si>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</si>
  <si>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</si>
  <si>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</si>
  <si>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</si>
  <si>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</si>
  <si>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</si>
  <si>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</si>
  <si>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</si>
  <si>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</si>
  <si>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</si>
  <si>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</si>
  <si>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</si>
  <si>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</si>
  <si>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</si>
  <si>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</si>
  <si>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</si>
  <si>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</si>
  <si>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</si>
  <si>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</si>
  <si>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</si>
  <si>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</si>
  <si>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</si>
  <si>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</si>
  <si>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</si>
  <si>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</si>
  <si>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</si>
  <si>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</si>
  <si>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</si>
  <si>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</si>
  <si>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</si>
  <si>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</si>
  <si>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</si>
  <si>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</si>
  <si>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</si>
  <si>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</si>
  <si>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</si>
  <si>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</si>
  <si>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</si>
  <si>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</si>
  <si>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</si>
  <si>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</si>
  <si>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</si>
  <si>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</si>
  <si>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</si>
  <si>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</si>
  <si>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</si>
  <si>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</si>
  <si>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</si>
  <si>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</si>
  <si>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</si>
  <si>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</si>
  <si>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</si>
  <si>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</si>
  <si>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</si>
  <si>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</si>
  <si>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</si>
  <si>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</si>
  <si>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</si>
  <si>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</si>
  <si>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</si>
  <si>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</si>
  <si>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</si>
  <si>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</si>
  <si>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</si>
  <si>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</si>
  <si>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</si>
  <si>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</si>
  <si>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</si>
  <si>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</si>
  <si>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</si>
  <si>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</si>
  <si>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</si>
  <si>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</si>
  <si>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</si>
  <si>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</si>
  <si>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</si>
  <si>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</si>
  <si>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</si>
  <si>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</si>
  <si>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</si>
  <si>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</si>
  <si>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</si>
  <si>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</si>
  <si>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</si>
  <si>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</si>
  <si>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</si>
  <si>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</si>
  <si>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</si>
  <si>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</si>
  <si>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</si>
  <si>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</si>
  <si>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</si>
  <si>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</si>
  <si>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</si>
  <si>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</si>
  <si>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</si>
  <si>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</si>
  <si>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</si>
  <si>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</si>
  <si>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</si>
  <si>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</si>
  <si>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</si>
  <si>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</si>
  <si>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</si>
  <si>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</si>
  <si>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</si>
  <si>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</si>
  <si>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</si>
  <si>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</si>
  <si>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</si>
  <si>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</si>
  <si>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</si>
  <si>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</si>
  <si>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</si>
  <si>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</si>
  <si>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</si>
  <si>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</si>
  <si>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</si>
  <si>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</si>
  <si>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</si>
  <si>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</si>
  <si>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</si>
  <si>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</si>
  <si>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</si>
  <si>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</si>
  <si>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</si>
  <si>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</si>
  <si>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</si>
  <si>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</si>
  <si>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</si>
  <si>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</si>
  <si>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</si>
  <si>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</si>
  <si>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</si>
  <si>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</si>
  <si>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</si>
  <si>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</si>
  <si>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</si>
  <si>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</si>
  <si>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</si>
  <si>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</si>
  <si>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</si>
  <si>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</si>
  <si>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</si>
  <si>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</si>
  <si>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</si>
  <si>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</si>
  <si>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</si>
  <si>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</si>
  <si>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</si>
  <si>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</si>
  <si>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</si>
  <si>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</si>
  <si>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</si>
  <si>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</si>
  <si>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</si>
  <si>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</si>
  <si>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</si>
  <si>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</si>
  <si>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</si>
  <si>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</si>
  <si>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</si>
  <si>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</si>
  <si>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</si>
  <si>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</si>
  <si>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</si>
  <si>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</si>
  <si>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</si>
  <si>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</si>
  <si>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</si>
  <si>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</si>
  <si>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</si>
  <si>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</si>
  <si>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</si>
  <si>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</si>
  <si>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</si>
  <si>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</si>
  <si>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</si>
  <si>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</si>
  <si>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</si>
  <si>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</si>
  <si>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</si>
  <si>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</si>
  <si>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</si>
  <si>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</si>
  <si>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</si>
  <si>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</si>
  <si>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</si>
  <si>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</si>
  <si>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</si>
  <si>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</si>
  <si>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</si>
  <si>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</si>
  <si>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</si>
  <si>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</si>
  <si>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</si>
  <si>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</si>
  <si>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</si>
  <si>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</si>
  <si>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</si>
  <si>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</si>
  <si>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</si>
  <si>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</si>
  <si>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</si>
  <si>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</si>
  <si>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</si>
  <si>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</si>
  <si>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</si>
  <si>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</si>
  <si>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</si>
  <si>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</si>
  <si>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</si>
  <si>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</si>
  <si>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</si>
  <si>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</si>
  <si>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</si>
  <si>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</si>
  <si>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</si>
  <si>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</si>
  <si>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</si>
  <si>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</si>
  <si>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</si>
  <si>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</si>
  <si>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</si>
  <si>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</si>
  <si>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</si>
  <si>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</si>
  <si>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</si>
  <si>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</si>
  <si>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</si>
  <si>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</si>
  <si>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</si>
  <si>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</si>
  <si>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</si>
  <si>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</si>
  <si>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</si>
  <si>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</si>
  <si>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</si>
  <si>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</si>
  <si>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</si>
  <si>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</si>
  <si>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</si>
  <si>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</si>
  <si>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</si>
  <si>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</si>
  <si>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</si>
  <si>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</si>
  <si>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</si>
  <si>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</si>
  <si>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</si>
  <si>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</si>
  <si>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</si>
  <si>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</si>
  <si>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</si>
  <si>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</si>
  <si>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</si>
  <si>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</si>
  <si>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</si>
  <si>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</si>
  <si>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</si>
  <si>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</si>
  <si>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</si>
  <si>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</si>
  <si>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</si>
  <si>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</si>
  <si>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</si>
  <si>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</si>
  <si>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</si>
  <si>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</si>
  <si>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</si>
  <si>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</si>
  <si>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</si>
  <si>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</si>
  <si>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</si>
  <si>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</si>
  <si>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</si>
  <si>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</si>
  <si>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</si>
  <si>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</si>
  <si>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</si>
  <si>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</si>
  <si>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</si>
  <si>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</si>
  <si>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</si>
  <si>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</si>
  <si>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</si>
  <si>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</si>
  <si>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</si>
  <si>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</si>
  <si>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</si>
  <si>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</si>
  <si>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</si>
  <si>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</si>
  <si>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</si>
  <si>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</si>
  <si>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</si>
  <si>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</si>
  <si>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</si>
  <si>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</si>
  <si>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</si>
  <si>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</si>
  <si>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</si>
  <si>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</si>
  <si>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</si>
  <si>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</si>
  <si>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</si>
  <si>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</si>
  <si>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</si>
  <si>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</si>
  <si>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</si>
  <si>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</si>
  <si>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</si>
  <si>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</si>
  <si>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</si>
  <si>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</si>
  <si>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</si>
  <si>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</si>
  <si>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</si>
  <si>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</si>
  <si>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</si>
  <si>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</si>
  <si>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</si>
  <si>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</si>
  <si>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</si>
  <si>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</si>
  <si>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</si>
  <si>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</si>
  <si>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</si>
  <si>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</si>
  <si>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</si>
  <si>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</si>
  <si>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</si>
  <si>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</si>
  <si>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</si>
  <si>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</si>
  <si>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</si>
  <si>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</si>
  <si>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</si>
  <si>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</si>
  <si>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</si>
  <si>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</si>
  <si>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</si>
  <si>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</si>
  <si>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</si>
  <si>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</si>
  <si>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</si>
  <si>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</si>
  <si>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</si>
  <si>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</si>
  <si>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</si>
  <si>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</si>
  <si>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</si>
  <si>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</si>
  <si>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</si>
  <si>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</si>
  <si>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</si>
  <si>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</si>
  <si>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</si>
  <si>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</si>
  <si>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</si>
  <si>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</si>
  <si>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</si>
  <si>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</si>
  <si>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</si>
  <si>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</si>
  <si>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</si>
  <si>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</si>
  <si>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</si>
  <si>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</si>
  <si>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</si>
  <si>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</si>
  <si>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</si>
  <si>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</si>
  <si>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</si>
  <si>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</si>
  <si>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</si>
  <si>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</si>
  <si>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</si>
  <si>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</si>
  <si>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</si>
  <si>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</si>
  <si>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</si>
  <si>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</si>
  <si>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</si>
  <si>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</si>
  <si>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</si>
  <si>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</si>
  <si>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</si>
  <si>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</si>
  <si>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</si>
  <si>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</si>
  <si>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</si>
  <si>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</si>
  <si>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</si>
  <si>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</si>
  <si>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</si>
  <si>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</si>
  <si>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</si>
  <si>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</si>
  <si>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</si>
  <si>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</si>
  <si>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</si>
  <si>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</si>
  <si>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</si>
  <si>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</si>
  <si>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</si>
  <si>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</si>
  <si>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</si>
  <si>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</si>
  <si>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</si>
  <si>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</si>
  <si>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</si>
  <si>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</si>
  <si>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</si>
  <si>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</si>
  <si>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</si>
  <si>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</si>
  <si>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</si>
  <si>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</si>
  <si>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</si>
  <si>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</si>
  <si>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</si>
  <si>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</si>
  <si>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</si>
  <si>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</si>
  <si>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</si>
  <si>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</si>
  <si>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</si>
  <si>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</si>
  <si>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</si>
  <si>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</si>
  <si>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</si>
  <si>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</si>
  <si>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</si>
  <si>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</si>
  <si>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</si>
  <si>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</si>
  <si>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</si>
  <si>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</si>
  <si>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</si>
  <si>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</si>
  <si>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</si>
  <si>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</si>
  <si>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</si>
  <si>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</si>
  <si>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</si>
  <si>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</si>
  <si>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</si>
  <si>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</si>
  <si>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</si>
  <si>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</si>
  <si>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</si>
  <si>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</si>
  <si>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</si>
  <si>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</si>
  <si>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</si>
  <si>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</si>
  <si>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</si>
  <si>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</si>
  <si>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</si>
  <si>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</si>
  <si>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</si>
  <si>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</si>
  <si>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</si>
  <si>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</si>
  <si>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</si>
  <si>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</si>
  <si>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</si>
  <si>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</si>
  <si>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</si>
  <si>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</si>
  <si>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</si>
  <si>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</si>
  <si>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</si>
  <si>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</si>
  <si>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</si>
  <si>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</si>
  <si>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</si>
  <si>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</si>
  <si>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</si>
  <si>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</si>
  <si>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</si>
  <si>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</si>
  <si>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</si>
  <si>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</si>
  <si>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</si>
  <si>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</si>
  <si>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</si>
  <si>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</si>
  <si>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</si>
  <si>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</si>
  <si>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</si>
  <si>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</si>
  <si>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</si>
  <si>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</si>
  <si>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</si>
  <si>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</si>
  <si>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</si>
  <si>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</si>
  <si>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</si>
  <si>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</si>
  <si>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</si>
  <si>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</si>
  <si>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</si>
  <si>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</si>
  <si>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</si>
  <si>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</si>
  <si>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</si>
  <si>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</si>
  <si>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</si>
  <si>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</si>
  <si>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</si>
  <si>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</si>
  <si>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</si>
  <si>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</si>
  <si>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</si>
  <si>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</si>
  <si>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</si>
  <si>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</si>
  <si>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</si>
  <si>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</si>
  <si>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</si>
  <si>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</si>
  <si>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</si>
  <si>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</si>
  <si>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</si>
  <si>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</si>
  <si>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</si>
  <si>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</si>
  <si>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</si>
  <si>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</si>
  <si>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</si>
  <si>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</si>
  <si>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</si>
  <si>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</si>
  <si>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</si>
  <si>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</si>
  <si>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</si>
  <si>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</si>
  <si>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</si>
  <si>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</si>
  <si>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</si>
  <si>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</si>
  <si>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</si>
  <si>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</si>
  <si>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</si>
  <si>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</si>
  <si>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</si>
  <si>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</si>
  <si>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</si>
  <si>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</si>
  <si>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</si>
  <si>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</si>
  <si>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</si>
  <si>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</si>
  <si>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</si>
  <si>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</si>
  <si>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</si>
  <si>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</si>
  <si>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</si>
  <si>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</si>
  <si>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</si>
  <si>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</si>
  <si>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</si>
  <si>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</si>
  <si>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</si>
  <si>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</si>
  <si>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</si>
  <si>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</si>
  <si>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</si>
  <si>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</si>
  <si>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</si>
  <si>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</si>
  <si>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</si>
  <si>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</si>
  <si>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</si>
  <si>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</si>
  <si>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</si>
  <si>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</si>
  <si>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</si>
  <si>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</si>
  <si>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</si>
  <si>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</si>
  <si>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</si>
  <si>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</si>
  <si>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</si>
  <si>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</si>
  <si>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</si>
  <si>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</si>
  <si>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</si>
  <si>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</si>
  <si>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</si>
  <si>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</si>
  <si>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</si>
  <si>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</si>
  <si>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</si>
  <si>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</si>
  <si>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</si>
  <si>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</si>
  <si>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</si>
  <si>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</si>
  <si>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</si>
  <si>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</si>
  <si>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</si>
  <si>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</si>
  <si>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</si>
  <si>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</si>
  <si>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</si>
  <si>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</si>
  <si>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</si>
  <si>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</si>
  <si>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</si>
  <si>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</si>
  <si>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</si>
  <si>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</si>
  <si>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</si>
  <si>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</si>
  <si>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</si>
  <si>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</si>
  <si>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</si>
  <si>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</si>
  <si>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</si>
  <si>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</si>
  <si>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</si>
  <si>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</si>
  <si>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</si>
  <si>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</si>
  <si>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</si>
  <si>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</si>
  <si>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</si>
  <si>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</si>
  <si>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</si>
  <si>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</si>
  <si>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</si>
  <si>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</si>
  <si>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</si>
  <si>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</si>
  <si>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</si>
  <si>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</si>
  <si>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</si>
  <si>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</si>
  <si>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</si>
  <si>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</si>
  <si>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</si>
  <si>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</si>
  <si>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</si>
  <si>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</si>
  <si>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</si>
  <si>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</si>
  <si>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</si>
  <si>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</si>
  <si>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</si>
  <si>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</si>
  <si>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</si>
  <si>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</si>
  <si>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</si>
  <si>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</si>
  <si>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</si>
  <si>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</si>
  <si>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</si>
  <si>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</si>
  <si>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</si>
  <si>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</si>
  <si>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</si>
  <si>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</si>
  <si>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</si>
  <si>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</si>
  <si>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</si>
  <si>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</si>
  <si>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</si>
  <si>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</si>
  <si>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</si>
  <si>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</si>
  <si>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</si>
  <si>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</si>
  <si>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</si>
  <si>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</si>
  <si>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</si>
  <si>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</si>
  <si>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</si>
  <si>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</si>
  <si>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</si>
  <si>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</si>
  <si>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</si>
  <si>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</si>
  <si>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</si>
  <si>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</si>
  <si>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</si>
  <si>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</si>
  <si>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</si>
  <si>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</si>
  <si>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</si>
  <si>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</si>
  <si>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</si>
  <si>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</si>
  <si>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</si>
  <si>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</si>
  <si>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</si>
  <si>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</si>
  <si>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</si>
  <si>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</si>
  <si>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</si>
  <si>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</si>
  <si>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</si>
  <si>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</si>
  <si>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</si>
  <si>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</si>
  <si>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</si>
  <si>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</si>
  <si>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</si>
  <si>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</si>
  <si>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</si>
  <si>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</si>
  <si>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</si>
  <si>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</si>
  <si>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</si>
  <si>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</si>
  <si>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</si>
  <si>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</si>
  <si>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</si>
  <si>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</si>
  <si>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</si>
  <si>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</si>
  <si>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</si>
  <si>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</si>
  <si>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</si>
  <si>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</si>
  <si>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</si>
  <si>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</si>
  <si>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</si>
  <si>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</si>
  <si>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</si>
  <si>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</si>
  <si>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</si>
  <si>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</si>
  <si>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</si>
  <si>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</si>
  <si>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</si>
  <si>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</si>
  <si>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</si>
  <si>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</si>
  <si>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</si>
  <si>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</si>
  <si>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</si>
  <si>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</si>
  <si>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</si>
  <si>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</si>
  <si>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</si>
  <si>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</si>
  <si>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</si>
  <si>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</si>
  <si>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</si>
  <si>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</si>
  <si>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</si>
  <si>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</si>
  <si>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</si>
  <si>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</si>
  <si>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</si>
  <si>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</si>
  <si>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</si>
  <si>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</si>
  <si>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</si>
  <si>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</si>
  <si>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</si>
  <si>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</si>
  <si>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</si>
  <si>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</si>
  <si>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</si>
  <si>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</si>
  <si>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</si>
  <si>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</si>
  <si>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</si>
  <si>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</si>
  <si>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</si>
  <si>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</si>
  <si>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</si>
  <si>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</si>
  <si>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</si>
  <si>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</si>
  <si>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</si>
  <si>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</si>
  <si>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</si>
  <si>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</si>
  <si>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</si>
  <si>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</si>
  <si>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</si>
  <si>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</si>
  <si>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</si>
  <si>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</si>
  <si>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</si>
  <si>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</si>
  <si>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</si>
  <si>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</si>
  <si>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</si>
  <si>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</si>
  <si>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</si>
  <si>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</si>
  <si>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</si>
  <si>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</si>
  <si>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</si>
  <si>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</si>
  <si>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</si>
  <si>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</si>
  <si>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</si>
  <si>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</si>
  <si>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</si>
  <si>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</si>
  <si>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</si>
  <si>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</si>
  <si>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</si>
  <si>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</si>
  <si>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</si>
  <si>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</si>
  <si>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</si>
  <si>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</si>
  <si>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</si>
  <si>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</si>
  <si>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</si>
  <si>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</si>
  <si>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</si>
  <si>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</si>
  <si>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</si>
  <si>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</si>
  <si>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</si>
  <si>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</si>
  <si>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</si>
  <si>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</si>
  <si>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</si>
  <si>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</si>
  <si>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</si>
  <si>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</si>
  <si>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</si>
  <si>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</si>
  <si>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</si>
  <si>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</si>
  <si>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</si>
  <si>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</si>
  <si>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</si>
  <si>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</si>
  <si>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</si>
  <si>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</si>
  <si>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</si>
  <si>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</si>
  <si>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</si>
  <si>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</si>
  <si>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</si>
  <si>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</si>
  <si>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</si>
  <si>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</si>
  <si>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</si>
  <si>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</si>
  <si>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</si>
  <si>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</si>
  <si>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</si>
  <si>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</si>
  <si>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</si>
  <si>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</si>
  <si>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</si>
  <si>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</si>
  <si>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</si>
  <si>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</si>
  <si>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</si>
  <si>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</si>
  <si>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</si>
  <si>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</si>
  <si>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</si>
  <si>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</si>
  <si>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</si>
  <si>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</si>
  <si>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</si>
  <si>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</si>
  <si>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</si>
  <si>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</si>
  <si>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</si>
  <si>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</si>
  <si>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</si>
  <si>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</si>
  <si>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</si>
  <si>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</si>
  <si>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</si>
  <si>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</si>
  <si>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</si>
  <si>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</si>
  <si>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</si>
  <si>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</si>
  <si>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</si>
  <si>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</si>
  <si>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</si>
  <si>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</si>
  <si>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</si>
  <si>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</si>
  <si>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</si>
  <si>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</si>
  <si>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</si>
  <si>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</si>
  <si>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</si>
  <si>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</si>
  <si>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</si>
  <si>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</si>
  <si>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</si>
  <si>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</si>
  <si>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</si>
  <si>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</si>
  <si>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</si>
  <si>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</si>
  <si>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</si>
  <si>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</si>
  <si>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</si>
  <si>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</si>
  <si>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</si>
  <si>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</si>
  <si>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</si>
  <si>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</si>
  <si>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</si>
  <si>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</si>
  <si>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</si>
  <si>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</si>
  <si>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</si>
  <si>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</si>
  <si>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</si>
  <si>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</si>
  <si>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</si>
  <si>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</si>
  <si>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</si>
  <si>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</si>
  <si>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</si>
  <si>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</si>
  <si>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</si>
  <si>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</si>
  <si>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</si>
  <si>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</si>
  <si>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</si>
  <si>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</si>
  <si>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</si>
  <si>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</si>
  <si>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</si>
  <si>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</si>
  <si>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</si>
  <si>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</si>
  <si>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</si>
  <si>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</si>
  <si>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</si>
  <si>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</si>
  <si>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</si>
  <si>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</si>
  <si>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</si>
  <si>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</si>
  <si>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</si>
  <si>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</si>
  <si>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</si>
  <si>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</si>
  <si>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</si>
  <si>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</si>
  <si>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</si>
  <si>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</si>
  <si>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</si>
  <si>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</si>
  <si>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</si>
  <si>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</si>
  <si>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</si>
  <si>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</si>
  <si>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</si>
  <si>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</si>
  <si>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</si>
  <si>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</si>
  <si>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</si>
  <si>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</si>
  <si>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</si>
  <si>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</si>
  <si>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</si>
  <si>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</si>
  <si>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</si>
  <si>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</si>
  <si>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</si>
  <si>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</si>
  <si>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</si>
  <si>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</si>
  <si>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</si>
  <si>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</si>
  <si>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</si>
  <si>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</si>
  <si>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</si>
  <si>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</si>
  <si>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</si>
  <si>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</si>
  <si>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</si>
  <si>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</si>
  <si>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</si>
  <si>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</si>
  <si>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</si>
  <si>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</si>
  <si>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</si>
  <si>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</si>
  <si>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</si>
  <si>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</si>
  <si>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</si>
  <si>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</si>
  <si>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</si>
  <si>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</si>
  <si>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</si>
  <si>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</si>
  <si>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</si>
  <si>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</si>
  <si>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</si>
  <si>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</si>
  <si>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</si>
  <si>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</si>
  <si>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</si>
  <si>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</si>
  <si>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</si>
  <si>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</si>
  <si>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</si>
  <si>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</si>
  <si>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</si>
  <si>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</si>
  <si>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</si>
  <si>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</si>
  <si>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</si>
  <si>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</si>
  <si>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</si>
  <si>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</si>
  <si>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</si>
  <si>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</si>
  <si>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</si>
  <si>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</si>
  <si>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</si>
  <si>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</si>
  <si>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</si>
  <si>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</si>
  <si>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</si>
  <si>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</si>
  <si>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</si>
  <si>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</si>
  <si>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</si>
  <si>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</si>
  <si>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</si>
  <si>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</si>
  <si>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</si>
  <si>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</si>
  <si>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</si>
  <si>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</si>
  <si>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</si>
  <si>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</si>
  <si>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</si>
  <si>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</si>
  <si>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</si>
  <si>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</si>
  <si>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</si>
  <si>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</si>
  <si>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</si>
  <si>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</si>
  <si>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</si>
  <si>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</si>
  <si>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</si>
  <si>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</si>
  <si>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</si>
  <si>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</si>
  <si>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</si>
  <si>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</si>
  <si>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</si>
  <si>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</si>
  <si>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</si>
  <si>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</si>
  <si>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</si>
  <si>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</si>
  <si>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</si>
  <si>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</si>
  <si>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</si>
  <si>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</si>
  <si>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</si>
  <si>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</si>
  <si>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</si>
  <si>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</si>
  <si>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</si>
  <si>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</si>
  <si>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</si>
  <si>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</si>
  <si>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</si>
  <si>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</si>
  <si>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</si>
  <si>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</si>
  <si>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</si>
  <si>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</si>
  <si>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</si>
  <si>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</si>
  <si>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</si>
  <si>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</si>
  <si>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</si>
  <si>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</si>
  <si>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</si>
  <si>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</si>
  <si>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</si>
  <si>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</si>
  <si>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</si>
  <si>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</si>
  <si>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</si>
  <si>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</si>
  <si>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</si>
  <si>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</si>
  <si>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</si>
  <si>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</si>
  <si>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</si>
  <si>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</si>
  <si>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</si>
  <si>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</si>
  <si>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</si>
  <si>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</si>
  <si>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</si>
  <si>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</si>
  <si>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</si>
  <si>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</si>
  <si>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</si>
  <si>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</si>
  <si>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</si>
  <si>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</si>
  <si>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</si>
  <si>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</si>
  <si>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</si>
  <si>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</si>
  <si>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</si>
  <si>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</si>
  <si>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</si>
  <si>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</si>
  <si>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</si>
  <si>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</si>
  <si>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</si>
  <si>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</si>
  <si>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</si>
  <si>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</si>
  <si>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</si>
  <si>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</si>
  <si>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</si>
  <si>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</si>
  <si>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</si>
  <si>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</si>
  <si>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</si>
  <si>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</si>
  <si>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</si>
  <si>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</si>
  <si>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</si>
  <si>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</si>
  <si>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</si>
  <si>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</si>
  <si>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</si>
  <si>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</si>
  <si>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</si>
  <si>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</si>
  <si>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</si>
  <si>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</si>
  <si>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</si>
  <si>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</si>
  <si>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</si>
  <si>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</si>
  <si>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</si>
  <si>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</si>
  <si>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</si>
  <si>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</si>
  <si>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</si>
  <si>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</si>
  <si>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</si>
  <si>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</si>
  <si>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</si>
  <si>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</si>
  <si>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</si>
  <si>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</si>
  <si>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</si>
  <si>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</si>
  <si>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</si>
  <si>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</si>
  <si>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</si>
  <si>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</si>
  <si>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</si>
  <si>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</si>
  <si>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</si>
  <si>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</si>
  <si>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</si>
  <si>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</si>
  <si>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</si>
  <si>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</si>
  <si>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</si>
  <si>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</si>
  <si>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</si>
  <si>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</si>
  <si>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</si>
  <si>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</si>
  <si>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</si>
  <si>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</si>
  <si>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</si>
  <si>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</si>
  <si>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</si>
  <si>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</si>
  <si>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</si>
  <si>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</si>
  <si>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</si>
  <si>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</si>
  <si>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</si>
  <si>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</si>
  <si>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</si>
  <si>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</si>
  <si>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</si>
  <si>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</si>
  <si>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</si>
  <si>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</si>
  <si>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</si>
  <si>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</si>
  <si>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</si>
  <si>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</si>
  <si>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</si>
  <si>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</si>
  <si>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</si>
  <si>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</si>
  <si>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</si>
  <si>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</si>
  <si>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</si>
  <si>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</si>
  <si>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</si>
  <si>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</si>
  <si>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</si>
  <si>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</si>
  <si>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</si>
  <si>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</si>
  <si>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</si>
  <si>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</si>
  <si>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</si>
  <si>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</si>
  <si>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</si>
  <si>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</si>
  <si>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</si>
  <si>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</si>
  <si>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</si>
  <si>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</si>
  <si>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</si>
  <si>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</si>
  <si>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</si>
  <si>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</si>
  <si>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</si>
  <si>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</si>
  <si>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</si>
  <si>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</si>
  <si>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</si>
  <si>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</si>
  <si>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</si>
  <si>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</si>
  <si>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</si>
  <si>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</si>
  <si>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</si>
  <si>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</si>
  <si>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</si>
  <si>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</si>
  <si>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</si>
  <si>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</si>
  <si>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</si>
  <si>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</si>
  <si>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</si>
  <si>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</si>
  <si>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</si>
  <si>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</si>
  <si>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</si>
  <si>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</si>
  <si>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</si>
  <si>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</si>
  <si>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</si>
  <si>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</si>
  <si>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</si>
  <si>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</si>
  <si>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</si>
  <si>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</si>
  <si>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</si>
  <si>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</si>
  <si>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</si>
  <si>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</si>
  <si>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</si>
  <si>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</si>
  <si>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</si>
  <si>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</si>
  <si>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</si>
  <si>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</si>
  <si>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</si>
  <si>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</si>
  <si>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</si>
  <si>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</si>
  <si>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</si>
  <si>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</si>
  <si>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</si>
  <si>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</si>
  <si>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</si>
  <si>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</si>
  <si>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</si>
  <si>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</si>
  <si>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</si>
  <si>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</si>
  <si>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</si>
  <si>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</si>
  <si>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</si>
  <si>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</si>
  <si>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</si>
  <si>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</si>
  <si>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</si>
  <si>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</si>
  <si>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</si>
  <si>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</si>
  <si>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</si>
  <si>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</si>
  <si>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</si>
  <si>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</si>
  <si>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</si>
  <si>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</si>
  <si>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</si>
  <si>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</si>
  <si>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</si>
  <si>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</si>
  <si>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</si>
  <si>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</si>
  <si>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</si>
  <si>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</si>
  <si>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</si>
  <si>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</si>
  <si>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</si>
  <si>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</si>
  <si>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</si>
  <si>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</si>
  <si>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</si>
  <si>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</si>
  <si>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</si>
  <si>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</si>
  <si>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</si>
  <si>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</si>
  <si>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</si>
  <si>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</si>
  <si>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</si>
  <si>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</si>
  <si>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</si>
  <si>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</si>
  <si>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</si>
  <si>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</si>
  <si>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</si>
  <si>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</si>
  <si>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</si>
  <si>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</si>
  <si>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</si>
  <si>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</si>
  <si>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</si>
  <si>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</si>
  <si>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</si>
  <si>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</si>
  <si>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</si>
  <si>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</si>
  <si>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</si>
  <si>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</si>
  <si>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</si>
  <si>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</si>
  <si>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</si>
  <si>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</si>
  <si>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</si>
  <si>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</si>
  <si>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</si>
  <si>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</si>
  <si>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</si>
  <si>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</si>
  <si>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</si>
  <si>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</si>
  <si>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</si>
  <si>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</si>
  <si>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</si>
  <si>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</si>
  <si>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</si>
  <si>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</si>
  <si>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</si>
  <si>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</si>
  <si>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</si>
  <si>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</si>
  <si>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</si>
  <si>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</si>
  <si>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</si>
  <si>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</si>
  <si>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</si>
  <si>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</si>
  <si>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</si>
  <si>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</si>
  <si>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</si>
  <si>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</si>
  <si>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</si>
  <si>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</si>
  <si>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</si>
  <si>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</si>
  <si>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</si>
  <si>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</si>
  <si>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</si>
  <si>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</si>
  <si>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</si>
  <si>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</si>
  <si>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</si>
  <si>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</si>
  <si>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</si>
  <si>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</si>
  <si>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</si>
  <si>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</si>
  <si>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</si>
  <si>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</si>
  <si>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</si>
  <si>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</si>
  <si>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</si>
  <si>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</si>
  <si>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</si>
  <si>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</si>
  <si>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</si>
  <si>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</si>
  <si>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</si>
  <si>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</si>
  <si>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</si>
  <si>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</si>
  <si>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</si>
  <si>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</si>
  <si>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</si>
  <si>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</si>
  <si>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</si>
  <si>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</si>
  <si>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</si>
  <si>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</si>
  <si>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</si>
  <si>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</si>
  <si>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</si>
  <si>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</si>
  <si>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</si>
  <si>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</si>
  <si>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</si>
  <si>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</si>
  <si>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</si>
  <si>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</si>
  <si>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</si>
  <si>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</si>
  <si>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</si>
  <si>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</si>
  <si>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</si>
  <si>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</si>
  <si>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</si>
  <si>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</si>
  <si>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</si>
  <si>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</si>
  <si>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</si>
  <si>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</si>
  <si>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</si>
  <si>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</si>
  <si>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</si>
  <si>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</si>
  <si>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</si>
  <si>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</si>
  <si>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</si>
  <si>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</si>
  <si>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</si>
  <si>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</si>
  <si>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</si>
  <si>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</si>
  <si>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</si>
  <si>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</si>
  <si>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</si>
  <si>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</si>
  <si>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</si>
  <si>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</si>
  <si>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</si>
  <si>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</si>
  <si>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</si>
  <si>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</si>
  <si>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</si>
  <si>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</si>
  <si>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</si>
  <si>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</si>
  <si>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</si>
  <si>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</si>
  <si>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</si>
  <si>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</si>
  <si>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</si>
  <si>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</si>
  <si>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</si>
  <si>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</si>
  <si>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</si>
  <si>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</si>
  <si>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</si>
  <si>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</si>
  <si>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</si>
  <si>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</si>
  <si>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</si>
  <si>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</si>
  <si>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</si>
  <si>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</si>
  <si>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</si>
  <si>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</si>
  <si>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</si>
  <si>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</si>
  <si>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</si>
  <si>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</si>
  <si>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</si>
  <si>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</si>
  <si>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</si>
  <si>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</si>
  <si>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</si>
  <si>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</si>
  <si>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</si>
  <si>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</si>
  <si>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</si>
  <si>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</si>
  <si>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</si>
  <si>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</si>
  <si>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</si>
  <si>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</si>
  <si>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</si>
  <si>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</si>
  <si>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</si>
  <si>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</si>
  <si>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</si>
  <si>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</si>
  <si>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</si>
  <si>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</si>
  <si>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</si>
  <si>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</si>
  <si>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</si>
  <si>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</si>
  <si>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</si>
  <si>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</si>
  <si>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</si>
  <si>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</si>
  <si>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</si>
  <si>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</si>
  <si>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</si>
  <si>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</si>
  <si>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</si>
  <si>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</si>
  <si>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</si>
  <si>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</si>
  <si>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</si>
  <si>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</si>
  <si>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</si>
  <si>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</si>
  <si>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</si>
  <si>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</si>
  <si>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</si>
  <si>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</si>
  <si>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</si>
  <si>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</si>
  <si>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</si>
  <si>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</si>
  <si>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</si>
  <si>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</si>
  <si>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</si>
  <si>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</si>
  <si>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</si>
  <si>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</si>
  <si>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</si>
  <si>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</si>
  <si>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</si>
  <si>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</si>
  <si>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</si>
  <si>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</si>
  <si>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</si>
  <si>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</si>
  <si>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</si>
  <si>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</si>
  <si>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</si>
  <si>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</si>
  <si>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</si>
  <si>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</si>
  <si>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</si>
  <si>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</si>
  <si>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</si>
  <si>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</si>
  <si>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</si>
  <si>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</si>
  <si>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</si>
  <si>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</si>
  <si>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</si>
  <si>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</si>
  <si>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</si>
  <si>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</si>
  <si>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</si>
  <si>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</si>
  <si>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</si>
  <si>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</si>
  <si>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</si>
  <si>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</si>
  <si>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</si>
  <si>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</si>
  <si>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</si>
  <si>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</si>
  <si>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</si>
  <si>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</si>
  <si>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</si>
  <si>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</si>
  <si>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</si>
  <si>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</si>
  <si>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</si>
  <si>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</si>
  <si>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</si>
  <si>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</si>
  <si>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</si>
  <si>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</si>
  <si>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</si>
  <si>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</si>
  <si>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</si>
  <si>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</si>
  <si>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</si>
  <si>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</si>
  <si>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</si>
  <si>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</si>
  <si>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</si>
  <si>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</si>
  <si>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</si>
  <si>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</si>
  <si>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</si>
  <si>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</si>
  <si>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</si>
  <si>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</si>
  <si>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</si>
  <si>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</si>
  <si>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</si>
  <si>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</si>
  <si>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</si>
  <si>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</si>
  <si>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</si>
  <si>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</si>
  <si>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</si>
  <si>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</si>
  <si>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</si>
  <si>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</si>
  <si>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</si>
  <si>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</si>
  <si>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</si>
  <si>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</si>
  <si>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</si>
  <si>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</si>
  <si>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</si>
  <si>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</si>
  <si>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</si>
  <si>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</si>
  <si>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</si>
  <si>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</si>
  <si>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</si>
  <si>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</si>
  <si>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</si>
  <si>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</si>
  <si>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</si>
  <si>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</si>
  <si>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</si>
  <si>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</si>
  <si>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</si>
  <si>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</si>
  <si>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</si>
  <si>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</si>
  <si>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</si>
  <si>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</si>
  <si>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</si>
  <si>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</si>
  <si>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</si>
  <si>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</si>
  <si>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</si>
  <si>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</si>
  <si>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</si>
  <si>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</si>
  <si>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</si>
  <si>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</si>
  <si>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</si>
  <si>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</si>
  <si>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</si>
  <si>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</si>
  <si>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</si>
  <si>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</si>
  <si>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</si>
  <si>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</si>
  <si>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</si>
  <si>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</si>
  <si>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</si>
  <si>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</si>
  <si>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</si>
  <si>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</si>
  <si>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</si>
  <si>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</si>
  <si>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</si>
  <si>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</si>
  <si>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</si>
  <si>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</si>
  <si>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</si>
  <si>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</si>
  <si>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</si>
  <si>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</si>
  <si>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</si>
  <si>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</si>
  <si>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</si>
  <si>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</si>
  <si>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</si>
  <si>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</si>
  <si>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</si>
  <si>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</si>
  <si>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</si>
  <si>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</si>
  <si>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</si>
  <si>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</si>
  <si>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</si>
  <si>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</si>
  <si>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</si>
  <si>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</si>
  <si>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</si>
  <si>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</si>
  <si>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</si>
  <si>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</si>
  <si>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</si>
  <si>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</si>
  <si>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</si>
  <si>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</si>
  <si>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</si>
  <si>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</si>
  <si>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</si>
  <si>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</si>
  <si>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</si>
  <si>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</si>
  <si>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</si>
  <si>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</si>
  <si>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</si>
  <si>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</si>
  <si>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</si>
  <si>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</si>
  <si>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</si>
  <si>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</si>
  <si>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</si>
  <si>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</si>
  <si>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</si>
  <si>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</si>
  <si>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</si>
  <si>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</si>
  <si>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</si>
  <si>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</si>
  <si>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</si>
  <si>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</si>
  <si>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</si>
  <si>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</si>
  <si>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</si>
  <si>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</si>
  <si>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</si>
  <si>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</si>
  <si>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</si>
  <si>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</si>
  <si>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</si>
  <si>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</si>
  <si>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</si>
  <si>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</si>
  <si>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</si>
  <si>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</si>
  <si>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</si>
  <si>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</si>
  <si>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</si>
  <si>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</si>
  <si>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</si>
  <si>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</si>
  <si>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</si>
  <si>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</si>
  <si>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</si>
  <si>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</si>
  <si>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</si>
  <si>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</si>
  <si>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</si>
  <si>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</si>
  <si>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</si>
  <si>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</si>
  <si>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</si>
  <si>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</si>
  <si>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</si>
  <si>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</si>
  <si>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</si>
  <si>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</si>
  <si>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</si>
  <si>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</si>
  <si>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</si>
  <si>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</si>
  <si>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</si>
  <si>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</si>
  <si>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</si>
  <si>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</si>
  <si>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</si>
  <si>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</si>
  <si>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</si>
  <si>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</si>
  <si>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</si>
  <si>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</si>
  <si>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</si>
  <si>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</si>
  <si>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</si>
  <si>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</si>
  <si>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</si>
  <si>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</si>
  <si>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</si>
  <si>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</si>
  <si>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</si>
  <si>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</si>
  <si>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</si>
  <si>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</si>
  <si>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</si>
  <si>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</si>
  <si>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</si>
  <si>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</si>
  <si>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</si>
  <si>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</si>
  <si>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</si>
  <si>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</si>
  <si>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</si>
  <si>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</si>
  <si>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</si>
  <si>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</si>
  <si>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</si>
  <si>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</si>
  <si>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</si>
  <si>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</si>
  <si>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</si>
  <si>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</si>
  <si>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</si>
  <si>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</si>
  <si>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</si>
  <si>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</si>
  <si>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</si>
  <si>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</si>
  <si>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</si>
  <si>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</si>
  <si>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</si>
  <si>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</si>
  <si>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</si>
  <si>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</si>
  <si>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</si>
  <si>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</si>
  <si>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</si>
  <si>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</si>
  <si>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</si>
  <si>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</si>
  <si>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</si>
  <si>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</si>
  <si>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</si>
  <si>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</si>
  <si>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</si>
  <si>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</si>
  <si>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</si>
  <si>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</si>
  <si>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</si>
  <si>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</si>
  <si>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</si>
  <si>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</si>
  <si>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</si>
  <si>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</si>
  <si>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</si>
  <si>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</si>
  <si>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</si>
  <si>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</si>
  <si>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</si>
  <si>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</si>
  <si>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</si>
  <si>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</si>
  <si>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</si>
  <si>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</si>
  <si>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</si>
  <si>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</si>
  <si>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</si>
  <si>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</si>
  <si>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</si>
  <si>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</si>
  <si>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</si>
  <si>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</si>
  <si>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</si>
  <si>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</si>
  <si>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</si>
  <si>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</si>
  <si>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</si>
  <si>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</si>
  <si>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</si>
  <si>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</si>
  <si>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</si>
  <si>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</si>
  <si>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</si>
  <si>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</si>
  <si>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</si>
  <si>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</si>
  <si>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</si>
  <si>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</si>
  <si>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</si>
  <si>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</si>
  <si>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</si>
  <si>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</si>
  <si>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</si>
  <si>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</si>
  <si>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</si>
  <si>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</si>
  <si>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</si>
  <si>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</si>
  <si>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</si>
  <si>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</si>
  <si>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</si>
  <si>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</si>
  <si>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</si>
  <si>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</si>
  <si>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</si>
  <si>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</si>
  <si>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</si>
  <si>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</si>
  <si>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</si>
  <si>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</si>
  <si>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</si>
  <si>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</si>
  <si>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</si>
  <si>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</si>
  <si>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</si>
  <si>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</si>
  <si>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</si>
  <si>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</si>
  <si>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</si>
  <si>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</si>
  <si>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</si>
  <si>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</si>
  <si>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</si>
  <si>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</si>
  <si>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</si>
  <si>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</si>
  <si>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</si>
  <si>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</si>
  <si>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</si>
  <si>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</si>
  <si>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</si>
  <si>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</si>
  <si>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</si>
  <si>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</si>
  <si>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</si>
  <si>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</si>
  <si>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</si>
  <si>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</si>
  <si>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</si>
  <si>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</si>
  <si>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</si>
  <si>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</si>
  <si>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</si>
  <si>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</si>
  <si>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</si>
  <si>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</si>
  <si>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</si>
  <si>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</si>
  <si>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</si>
  <si>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</si>
  <si>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</si>
  <si>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</si>
  <si>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</si>
  <si>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</si>
  <si>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</si>
  <si>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</si>
  <si>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</si>
  <si>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</si>
  <si>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</si>
  <si>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</si>
  <si>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</si>
  <si>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</si>
  <si>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</si>
  <si>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</si>
  <si>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</si>
  <si>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</si>
  <si>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</si>
  <si>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</si>
  <si>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</si>
  <si>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</si>
  <si>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</si>
  <si>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</si>
  <si>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</si>
  <si>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</si>
  <si>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</si>
  <si>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</si>
  <si>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</si>
  <si>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</si>
  <si>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</si>
  <si>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</si>
  <si>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</si>
  <si>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</si>
  <si>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</si>
  <si>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</si>
  <si>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</si>
  <si>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</si>
  <si>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</si>
  <si>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</si>
  <si>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</si>
  <si>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</si>
  <si>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</si>
  <si>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</si>
  <si>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</si>
  <si>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</si>
  <si>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</si>
  <si>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</si>
  <si>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</si>
  <si>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</si>
  <si>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</si>
  <si>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</si>
  <si>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</si>
  <si>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</si>
  <si>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</si>
  <si>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</si>
  <si>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</si>
  <si>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</si>
  <si>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</si>
  <si>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</si>
  <si>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</si>
  <si>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</si>
  <si>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</si>
  <si>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</si>
  <si>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</si>
  <si>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</si>
  <si>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</si>
  <si>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</si>
  <si>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</si>
  <si>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</si>
  <si>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</si>
  <si>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</si>
  <si>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</si>
  <si>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</si>
  <si>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</si>
  <si>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</si>
  <si>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</si>
  <si>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</si>
  <si>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</si>
  <si>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</si>
  <si>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</si>
  <si>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</si>
  <si>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</si>
  <si>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</si>
  <si>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</si>
  <si>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</si>
  <si>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</si>
  <si>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</si>
  <si>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</si>
  <si>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</si>
  <si>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</si>
  <si>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</si>
  <si>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</si>
  <si>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</si>
  <si>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</si>
  <si>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</si>
  <si>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</si>
  <si>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</si>
  <si>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</si>
  <si>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</si>
  <si>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</si>
  <si>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</si>
  <si>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</si>
  <si>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</si>
  <si>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</si>
  <si>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</si>
  <si>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</si>
  <si>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</si>
  <si>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</si>
  <si>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</si>
  <si>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</si>
  <si>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</si>
  <si>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</si>
  <si>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</si>
  <si>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</si>
  <si>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</si>
  <si>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</si>
  <si>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</si>
  <si>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</si>
  <si>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</si>
  <si>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</si>
  <si>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</si>
  <si>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</si>
  <si>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</si>
  <si>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</si>
  <si>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</si>
  <si>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</si>
  <si>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</si>
  <si>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</si>
  <si>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</si>
  <si>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</si>
  <si>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</si>
  <si>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</si>
  <si>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</si>
  <si>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</si>
  <si>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</si>
  <si>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</si>
  <si>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</si>
  <si>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</si>
  <si>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</si>
  <si>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</si>
  <si>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</si>
  <si>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</si>
  <si>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</si>
  <si>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</si>
  <si>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</si>
  <si>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</si>
  <si>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</si>
  <si>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</si>
  <si>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</si>
  <si>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</si>
  <si>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</si>
  <si>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</si>
  <si>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</si>
  <si>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</si>
  <si>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</si>
  <si>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</si>
  <si>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</si>
  <si>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</si>
  <si>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</si>
  <si>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</si>
  <si>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</si>
  <si>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</si>
  <si>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</si>
  <si>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</si>
  <si>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</si>
  <si>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</si>
  <si>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</si>
  <si>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</si>
  <si>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</si>
  <si>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</si>
  <si>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</si>
  <si>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</si>
  <si>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</si>
  <si>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</si>
  <si>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</si>
  <si>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</si>
  <si>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</si>
  <si>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</si>
  <si>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</si>
  <si>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</si>
  <si>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</si>
  <si>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</si>
  <si>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</si>
  <si>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</si>
  <si>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</si>
  <si>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</si>
  <si>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</si>
  <si>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</si>
  <si>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</si>
  <si>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</si>
  <si>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</si>
  <si>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</si>
  <si>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</si>
  <si>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</si>
  <si>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</si>
  <si>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</si>
  <si>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</si>
  <si>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</si>
  <si>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</si>
  <si>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</si>
  <si>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</si>
  <si>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</si>
  <si>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</si>
  <si>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</si>
  <si>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</si>
  <si>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</si>
  <si>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</si>
  <si>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</si>
  <si>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</si>
  <si>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</si>
  <si>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</si>
  <si>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</si>
  <si>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</si>
  <si>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</si>
  <si>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</si>
  <si>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</si>
  <si>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</si>
  <si>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</si>
  <si>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</si>
  <si>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</si>
  <si>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</si>
  <si>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</si>
  <si>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</si>
  <si>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</si>
  <si>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</si>
  <si>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</si>
  <si>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</si>
  <si>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</si>
  <si>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</si>
  <si>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</si>
  <si>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</si>
  <si>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</si>
  <si>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</si>
  <si>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</si>
  <si>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</si>
  <si>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</si>
  <si>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</si>
  <si>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</si>
  <si>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</si>
  <si>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</si>
  <si>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</si>
  <si>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</si>
  <si>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</si>
  <si>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</si>
  <si>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</si>
  <si>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</si>
  <si>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</si>
  <si>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</si>
  <si>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</si>
  <si>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</si>
  <si>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</si>
  <si>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</si>
  <si>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</si>
  <si>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</si>
  <si>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</si>
  <si>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</si>
  <si>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</si>
  <si>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</si>
  <si>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</si>
  <si>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</si>
  <si>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</si>
  <si>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</si>
  <si>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</si>
  <si>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</si>
  <si>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</si>
  <si>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</si>
  <si>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</si>
  <si>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</si>
  <si>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</si>
  <si>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</si>
  <si>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</si>
  <si>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</si>
  <si>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</si>
  <si>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</si>
  <si>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</si>
  <si>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</si>
  <si>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</si>
  <si>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</si>
  <si>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</si>
  <si>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</si>
  <si>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</si>
  <si>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</si>
  <si>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</si>
  <si>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</si>
  <si>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</si>
  <si>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</si>
  <si>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</si>
  <si>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</si>
  <si>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</si>
  <si>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</si>
  <si>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</si>
  <si>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</si>
  <si>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</si>
  <si>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</si>
  <si>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</si>
  <si>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</si>
  <si>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</si>
  <si>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</si>
  <si>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</si>
  <si>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</si>
  <si>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</si>
  <si>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</si>
  <si>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</si>
  <si>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</si>
  <si>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</si>
  <si>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</si>
  <si>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</si>
  <si>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</si>
  <si>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</si>
  <si>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</si>
  <si>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</si>
  <si>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</si>
  <si>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</si>
  <si>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</si>
  <si>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</si>
  <si>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</si>
  <si>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</si>
  <si>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</si>
  <si>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</si>
  <si>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</si>
  <si>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</si>
  <si>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</si>
  <si>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</si>
  <si>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</si>
  <si>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</si>
  <si>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</si>
  <si>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</si>
  <si>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</si>
  <si>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</si>
  <si>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</si>
  <si>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</si>
  <si>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</si>
  <si>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</si>
  <si>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</si>
  <si>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</si>
  <si>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</si>
  <si>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</si>
  <si>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</si>
  <si>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</si>
  <si>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</si>
  <si>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</si>
  <si>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</si>
  <si>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</si>
  <si>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</si>
  <si>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</si>
  <si>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</si>
  <si>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</si>
  <si>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</si>
  <si>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</si>
  <si>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</si>
  <si>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</si>
  <si>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</si>
  <si>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</si>
  <si>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</si>
  <si>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</si>
  <si>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</si>
  <si>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</si>
  <si>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</si>
  <si>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</si>
  <si>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</si>
  <si>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</si>
  <si>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</si>
  <si>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</si>
  <si>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</si>
  <si>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</si>
  <si>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</si>
  <si>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</si>
  <si>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</si>
  <si>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</si>
  <si>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</si>
  <si>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</si>
  <si>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</si>
  <si>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</si>
  <si>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</si>
  <si>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</si>
  <si>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</si>
  <si>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</si>
  <si>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</si>
  <si>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</si>
  <si>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</si>
  <si>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</si>
  <si>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</si>
  <si>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</si>
  <si>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</si>
  <si>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</si>
  <si>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</si>
  <si>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</si>
  <si>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</si>
  <si>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</si>
  <si>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</si>
  <si>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</si>
  <si>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</si>
  <si>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</si>
  <si>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</si>
  <si>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</si>
  <si>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</si>
  <si>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</si>
  <si>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</si>
  <si>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</si>
  <si>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</si>
  <si>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</si>
  <si>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</si>
  <si>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</si>
  <si>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</si>
  <si>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</si>
  <si>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</si>
  <si>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</si>
  <si>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</si>
  <si>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</si>
  <si>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</si>
  <si>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</si>
  <si>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</si>
  <si>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</si>
  <si>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</si>
  <si>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</si>
  <si>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</si>
  <si>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</si>
  <si>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</si>
  <si>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</si>
  <si>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</si>
  <si>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</si>
  <si>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</si>
  <si>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</si>
  <si>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</si>
  <si>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</si>
  <si>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</si>
  <si>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</si>
  <si>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</si>
  <si>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</si>
  <si>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</si>
  <si>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</si>
  <si>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</si>
  <si>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</si>
  <si>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</si>
  <si>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</si>
  <si>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</si>
  <si>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</si>
  <si>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</si>
  <si>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</si>
  <si>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</si>
  <si>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</si>
  <si>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</si>
  <si>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</si>
  <si>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</si>
  <si>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</si>
  <si>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</si>
  <si>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</si>
  <si>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</si>
  <si>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</si>
  <si>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</si>
  <si>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</si>
  <si>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</si>
  <si>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</si>
  <si>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</si>
  <si>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</si>
  <si>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</si>
  <si>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</si>
  <si>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</si>
  <si>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</si>
  <si>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</si>
  <si>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</si>
  <si>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</si>
  <si>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</si>
  <si>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</si>
  <si>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</si>
  <si>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</si>
  <si>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</si>
  <si>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</si>
  <si>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</si>
  <si>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</si>
  <si>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</si>
  <si>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</si>
  <si>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</si>
  <si>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</si>
  <si>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</si>
  <si>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</si>
  <si>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</si>
  <si>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</si>
  <si>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</si>
  <si>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</si>
  <si>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</si>
  <si>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</si>
  <si>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</si>
  <si>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</si>
  <si>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</si>
  <si>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</si>
  <si>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</si>
  <si>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</si>
  <si>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</si>
  <si>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</si>
  <si>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</si>
  <si>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</si>
  <si>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</si>
  <si>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</si>
  <si>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</si>
  <si>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</si>
  <si>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</si>
  <si>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</si>
  <si>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</si>
  <si>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</si>
  <si>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</si>
  <si>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</si>
  <si>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</si>
  <si>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</si>
  <si>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</si>
  <si>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</si>
  <si>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</si>
  <si>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</si>
  <si>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</si>
  <si>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</si>
  <si>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</si>
  <si>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</si>
  <si>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</si>
  <si>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</si>
  <si>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</si>
  <si>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</si>
  <si>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</si>
  <si>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</si>
  <si>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</si>
  <si>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</si>
  <si>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</si>
  <si>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</si>
  <si>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</si>
  <si>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</si>
  <si>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</si>
  <si>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</si>
  <si>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</si>
  <si>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</si>
  <si>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</si>
  <si>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</si>
  <si>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</si>
  <si>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</si>
  <si>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</si>
  <si>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</si>
  <si>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</si>
  <si>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</si>
  <si>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</si>
  <si>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</si>
  <si>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</si>
  <si>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</si>
  <si>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</si>
  <si>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</si>
  <si>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</si>
  <si>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</si>
  <si>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</si>
  <si>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</si>
  <si>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</si>
  <si>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</si>
  <si>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</si>
  <si>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</si>
  <si>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</si>
  <si>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</si>
  <si>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</si>
  <si>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</si>
  <si>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</si>
  <si>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</si>
  <si>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</si>
  <si>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</si>
  <si>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</si>
  <si>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</si>
  <si>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</si>
  <si>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</si>
  <si>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</si>
  <si>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</si>
  <si>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</si>
  <si>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</si>
  <si>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</si>
  <si>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</si>
  <si>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</si>
  <si>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</si>
  <si>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</si>
  <si>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</si>
  <si>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</si>
  <si>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</si>
  <si>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</si>
  <si>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</si>
  <si>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</si>
  <si>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</si>
  <si>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</si>
  <si>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</si>
  <si>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</si>
  <si>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</si>
  <si>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</si>
  <si>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</si>
  <si>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</si>
  <si>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</si>
  <si>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</si>
  <si>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</si>
  <si>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</si>
  <si>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</si>
  <si>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</si>
  <si>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</si>
  <si>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</si>
  <si>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</si>
  <si>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</si>
  <si>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</si>
  <si>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</si>
  <si>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</si>
  <si>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</si>
  <si>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</si>
  <si>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</si>
  <si>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</si>
  <si>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</si>
  <si>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</si>
  <si>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</si>
  <si>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</si>
  <si>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</si>
  <si>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</si>
  <si>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</si>
  <si>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</si>
  <si>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</si>
  <si>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</si>
  <si>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</si>
  <si>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</si>
  <si>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</si>
  <si>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</si>
  <si>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</si>
  <si>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</si>
  <si>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</si>
  <si>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</si>
  <si>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</si>
  <si>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</si>
  <si>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</si>
  <si>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</si>
  <si>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</si>
  <si>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</si>
  <si>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</si>
  <si>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</si>
  <si>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</si>
  <si>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</si>
  <si>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</si>
  <si>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</si>
  <si>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</si>
  <si>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</si>
  <si>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</si>
  <si>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</si>
  <si>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</si>
  <si>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</si>
  <si>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</si>
  <si>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</si>
  <si>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</si>
  <si>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</si>
  <si>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</si>
  <si>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</si>
  <si>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</si>
  <si>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</si>
  <si>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</si>
  <si>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</si>
  <si>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</si>
  <si>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</si>
  <si>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</si>
  <si>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</si>
  <si>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</si>
  <si>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</si>
  <si>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</si>
  <si>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</si>
  <si>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</si>
  <si>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</si>
  <si>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</si>
  <si>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</si>
  <si>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</si>
  <si>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</si>
  <si>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</si>
  <si>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</si>
  <si>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</si>
  <si>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</si>
  <si>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</si>
  <si>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</si>
  <si>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</si>
  <si>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</si>
  <si>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</si>
  <si>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</si>
  <si>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</si>
  <si>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</si>
  <si>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</si>
  <si>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</si>
  <si>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</si>
  <si>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</si>
  <si>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</si>
  <si>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</si>
  <si>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</si>
  <si>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</si>
  <si>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</si>
  <si>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</si>
  <si>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</si>
  <si>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</si>
  <si>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</si>
  <si>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</si>
  <si>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</si>
  <si>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</si>
  <si>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</si>
  <si>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</si>
  <si>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</si>
  <si>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</si>
  <si>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</si>
  <si>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</si>
  <si>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</si>
  <si>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</si>
  <si>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</si>
  <si>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</si>
  <si>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</si>
  <si>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</si>
  <si>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</si>
  <si>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</si>
  <si>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</si>
  <si>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</si>
  <si>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</si>
  <si>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</si>
  <si>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</si>
  <si>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</si>
  <si>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</si>
  <si>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</si>
  <si>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</si>
  <si>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</si>
  <si>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</si>
  <si>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</si>
  <si>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</si>
  <si>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</si>
  <si>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</si>
  <si>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</si>
  <si>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</si>
  <si>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</si>
  <si>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</si>
  <si>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</si>
  <si>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</si>
  <si>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</si>
  <si>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</si>
  <si>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</si>
  <si>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</si>
  <si>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</si>
  <si>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</si>
  <si>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</si>
  <si>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</si>
  <si>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</si>
  <si>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</si>
  <si>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</si>
  <si>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</si>
  <si>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</si>
  <si>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</si>
  <si>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</si>
  <si>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</si>
  <si>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</si>
  <si>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</si>
  <si>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</si>
  <si>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</si>
  <si>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</si>
  <si>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</si>
  <si>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</si>
  <si>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</si>
  <si>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</si>
  <si>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</si>
  <si>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</si>
  <si>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</si>
  <si>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</si>
  <si>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</si>
  <si>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</si>
  <si>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</si>
  <si>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</si>
  <si>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</si>
  <si>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</si>
  <si>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</si>
  <si>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</si>
  <si>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</si>
  <si>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</si>
  <si>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</si>
  <si>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</si>
  <si>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</si>
  <si>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</si>
  <si>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</si>
  <si>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</si>
  <si>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</si>
  <si>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</si>
  <si>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</si>
  <si>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</si>
  <si>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</si>
  <si>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</si>
  <si>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</si>
  <si>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</si>
  <si>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</si>
  <si>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</si>
  <si>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</si>
  <si>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</si>
  <si>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</si>
  <si>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</si>
  <si>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</si>
  <si>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</si>
  <si>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</si>
  <si>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</si>
  <si>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</si>
  <si>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</si>
  <si>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</si>
  <si>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</si>
  <si>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</si>
  <si>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</si>
  <si>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</si>
  <si>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</si>
  <si>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</si>
  <si>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</si>
  <si>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</si>
  <si>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</si>
  <si>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</si>
  <si>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</si>
  <si>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</si>
  <si>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</si>
  <si>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</si>
  <si>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</si>
  <si>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</si>
  <si>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</si>
  <si>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</si>
  <si>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</si>
  <si>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</si>
  <si>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</si>
  <si>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</si>
  <si>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</si>
  <si>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</si>
  <si>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</si>
  <si>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</si>
  <si>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</si>
  <si>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</si>
  <si>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</si>
  <si>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</si>
  <si>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</si>
  <si>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</si>
  <si>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</si>
  <si>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</si>
  <si>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</si>
  <si>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</si>
  <si>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</si>
  <si>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</si>
  <si>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</si>
  <si>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</si>
  <si>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</si>
  <si>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</si>
  <si>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</si>
  <si>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</si>
  <si>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</si>
  <si>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</si>
  <si>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</si>
  <si>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</si>
  <si>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</si>
  <si>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</si>
  <si>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</si>
  <si>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</si>
  <si>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</si>
  <si>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</si>
  <si>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</si>
  <si>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</si>
  <si>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</si>
  <si>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</si>
  <si>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</si>
  <si>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</si>
  <si>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</si>
  <si>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</si>
  <si>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</si>
  <si>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</si>
  <si>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</si>
  <si>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</si>
  <si>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</si>
  <si>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</si>
  <si>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</si>
  <si>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</si>
  <si>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</si>
  <si>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</si>
  <si>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</si>
  <si>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</si>
  <si>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</si>
  <si>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</si>
  <si>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</si>
  <si>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</si>
  <si>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</si>
  <si>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</si>
  <si>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</si>
  <si>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</si>
  <si>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</si>
  <si>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</si>
  <si>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</si>
  <si>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</si>
  <si>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</si>
  <si>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</si>
  <si>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</si>
  <si>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</si>
  <si>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</si>
  <si>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</si>
  <si>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</si>
  <si>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</si>
  <si>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</si>
  <si>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</si>
  <si>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</si>
  <si>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</si>
  <si>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</si>
  <si>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</si>
  <si>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</si>
  <si>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</si>
  <si>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</si>
  <si>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</si>
  <si>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</si>
  <si>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</si>
  <si>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</si>
  <si>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</si>
  <si>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</si>
  <si>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</si>
  <si>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</si>
  <si>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</si>
  <si>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</si>
  <si>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</si>
  <si>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</si>
  <si>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</si>
  <si>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</si>
  <si>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</si>
  <si>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</si>
  <si>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</si>
  <si>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</si>
  <si>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</si>
  <si>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</si>
  <si>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</si>
  <si>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</si>
  <si>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</si>
  <si>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</si>
  <si>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</si>
  <si>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</si>
  <si>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</si>
  <si>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</si>
  <si>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</si>
  <si>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</si>
  <si>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</si>
  <si>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</si>
  <si>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</si>
  <si>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</si>
  <si>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</si>
  <si>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</si>
  <si>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</si>
  <si>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</si>
  <si>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</si>
  <si>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</si>
  <si>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</si>
  <si>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</si>
  <si>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</si>
  <si>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</si>
  <si>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</si>
  <si>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</si>
  <si>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</si>
  <si>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</si>
  <si>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</si>
  <si>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</si>
  <si>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</si>
  <si>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</si>
  <si>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</si>
  <si>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</si>
  <si>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</si>
  <si>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</si>
  <si>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</si>
  <si>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</si>
  <si>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</si>
  <si>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</si>
  <si>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</si>
  <si>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</si>
  <si>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</si>
  <si>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</si>
  <si>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</si>
  <si>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</si>
  <si>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</si>
  <si>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</si>
  <si>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</si>
  <si>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</si>
  <si>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</si>
  <si>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</si>
  <si>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</si>
  <si>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</si>
  <si>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</si>
  <si>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</si>
  <si>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</si>
  <si>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</si>
  <si>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</si>
  <si>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</si>
  <si>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</si>
  <si>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</si>
  <si>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</si>
  <si>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</si>
  <si>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</si>
  <si>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</si>
  <si>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</si>
  <si>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</si>
  <si>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</si>
  <si>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</si>
  <si>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</si>
  <si>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</si>
  <si>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</si>
  <si>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</si>
  <si>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</si>
  <si>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</si>
  <si>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</si>
  <si>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</si>
  <si>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</si>
  <si>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</si>
  <si>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</si>
  <si>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</si>
  <si>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</si>
  <si>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</si>
  <si>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</si>
  <si>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</si>
  <si>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</si>
  <si>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</si>
  <si>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</si>
  <si>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</si>
  <si>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</si>
  <si>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</si>
  <si>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</si>
  <si>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</si>
  <si>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</si>
  <si>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</si>
  <si>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</si>
  <si>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</si>
  <si>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</si>
  <si>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</si>
  <si>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</si>
  <si>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</si>
  <si>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</si>
  <si>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</si>
  <si>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</si>
  <si>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</si>
  <si>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</si>
  <si>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</si>
  <si>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</si>
  <si>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</si>
  <si>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</si>
  <si>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</si>
  <si>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</si>
  <si>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</si>
  <si>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</si>
  <si>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</si>
  <si>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</si>
  <si>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</si>
  <si>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</si>
  <si>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</si>
  <si>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</si>
  <si>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</si>
  <si>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</si>
  <si>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</si>
  <si>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</si>
  <si>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</si>
  <si>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</si>
  <si>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</si>
  <si>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</si>
  <si>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</si>
  <si>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</si>
  <si>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</si>
  <si>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</si>
  <si>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</si>
  <si>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</si>
  <si>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</si>
  <si>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</si>
  <si>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</si>
  <si>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</si>
  <si>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</si>
  <si>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</si>
  <si>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</si>
  <si>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</si>
  <si>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</si>
  <si>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</si>
  <si>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</si>
  <si>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</si>
  <si>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</si>
  <si>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</si>
  <si>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</si>
  <si>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</si>
  <si>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</si>
  <si>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</si>
  <si>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</si>
  <si>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</si>
  <si>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</si>
  <si>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</si>
  <si>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</si>
  <si>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</si>
  <si>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</si>
  <si>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</si>
  <si>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</si>
  <si>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</si>
  <si>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</si>
  <si>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</si>
  <si>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</si>
  <si>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</si>
  <si>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</si>
  <si>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</si>
  <si>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</si>
  <si>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</si>
  <si>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</si>
  <si>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</si>
  <si>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</si>
  <si>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</si>
  <si>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</si>
  <si>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</si>
  <si>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</si>
  <si>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</si>
  <si>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</si>
  <si>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</si>
  <si>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</si>
  <si>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</si>
  <si>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</si>
  <si>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</si>
  <si>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</si>
  <si>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</si>
  <si>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</si>
  <si>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</si>
  <si>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</si>
  <si>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</si>
  <si>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</si>
  <si>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</si>
  <si>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</si>
  <si>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</si>
  <si>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</si>
  <si>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</si>
  <si>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</si>
  <si>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</si>
  <si>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</si>
  <si>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</si>
  <si>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</si>
  <si>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</si>
  <si>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</si>
  <si>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</si>
  <si>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</si>
  <si>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</si>
  <si>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</si>
  <si>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</si>
  <si>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</si>
  <si>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</si>
  <si>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</si>
  <si>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</si>
  <si>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</si>
  <si>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</si>
  <si>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</si>
  <si>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</si>
  <si>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</si>
  <si>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</si>
  <si>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</si>
  <si>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</si>
  <si>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</si>
  <si>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</si>
  <si>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</si>
  <si>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</si>
  <si>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</si>
  <si>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</si>
  <si>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</si>
  <si>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</si>
  <si>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</si>
  <si>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</si>
  <si>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</si>
  <si>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</si>
  <si>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</si>
  <si>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</si>
  <si>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</si>
  <si>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</si>
  <si>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</si>
  <si>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</si>
  <si>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</si>
  <si>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</si>
  <si>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</si>
  <si>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</si>
  <si>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</si>
  <si>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</si>
  <si>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</si>
  <si>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</si>
  <si>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</si>
  <si>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</si>
  <si>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</si>
  <si>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</si>
  <si>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</si>
  <si>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</si>
  <si>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</si>
  <si>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</si>
  <si>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</si>
  <si>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</si>
  <si>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</si>
  <si>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</si>
  <si>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</si>
  <si>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</si>
  <si>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</si>
  <si>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</si>
  <si>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</si>
  <si>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</si>
  <si>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</si>
  <si>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</si>
  <si>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</si>
  <si>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</si>
  <si>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</si>
  <si>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</si>
  <si>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</si>
  <si>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</si>
  <si>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</si>
  <si>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</si>
  <si>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</si>
  <si>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</si>
  <si>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</si>
  <si>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</si>
  <si>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</si>
  <si>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</si>
  <si>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</si>
  <si>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</si>
  <si>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</si>
  <si>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</si>
  <si>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</si>
  <si>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</si>
  <si>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</si>
  <si>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</si>
  <si>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</si>
  <si>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</si>
  <si>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</si>
  <si>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</si>
  <si>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</si>
  <si>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</si>
  <si>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</si>
  <si>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</si>
  <si>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</si>
  <si>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</si>
  <si>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</si>
  <si>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</si>
  <si>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</si>
  <si>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</si>
  <si>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</si>
  <si>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</si>
  <si>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</si>
  <si>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</si>
  <si>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</si>
  <si>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</si>
  <si>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</si>
  <si>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</si>
  <si>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</si>
  <si>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</si>
  <si>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</si>
  <si>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</si>
  <si>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</si>
  <si>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</si>
  <si>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</si>
  <si>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</si>
  <si>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</si>
  <si>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</si>
  <si>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</si>
  <si>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</si>
  <si>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</si>
  <si>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</si>
  <si>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</si>
  <si>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</si>
  <si>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</si>
  <si>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</si>
  <si>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</si>
  <si>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</si>
  <si>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</si>
  <si>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</si>
  <si>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</si>
  <si>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</si>
  <si>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</si>
  <si>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</si>
  <si>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</si>
  <si>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</si>
  <si>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</si>
  <si>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</si>
  <si>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</si>
  <si>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</si>
  <si>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</si>
  <si>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</si>
  <si>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</si>
  <si>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</si>
  <si>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</si>
  <si>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</si>
  <si>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</si>
  <si>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</si>
  <si>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</si>
  <si>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</si>
  <si>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</si>
  <si>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</si>
  <si>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</si>
  <si>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</si>
  <si>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</si>
  <si>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</si>
  <si>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</si>
  <si>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</si>
  <si>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</si>
  <si>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</si>
  <si>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</si>
  <si>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</si>
  <si>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</si>
  <si>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</si>
  <si>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</si>
  <si>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</si>
  <si>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</si>
  <si>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</si>
  <si>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</si>
  <si>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</si>
  <si>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</si>
  <si>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</si>
  <si>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</si>
  <si>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</si>
  <si>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</si>
  <si>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</si>
  <si>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</si>
  <si>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</si>
  <si>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</si>
  <si>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</si>
  <si>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</si>
  <si>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</si>
  <si>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</si>
  <si>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</si>
  <si>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</si>
  <si>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</si>
  <si>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</si>
  <si>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</si>
  <si>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</si>
  <si>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</si>
  <si>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</si>
  <si>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</si>
  <si>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</si>
  <si>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</si>
  <si>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</si>
  <si>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</si>
  <si>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</si>
  <si>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</si>
  <si>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</si>
  <si>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</si>
  <si>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</si>
  <si>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</si>
  <si>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</si>
  <si>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</si>
  <si>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</si>
  <si>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</si>
  <si>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</si>
  <si>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</si>
  <si>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</si>
  <si>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</si>
  <si>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</si>
  <si>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</si>
  <si>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</si>
  <si>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</si>
  <si>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</si>
  <si>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</si>
  <si>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</si>
  <si>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</si>
  <si>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</si>
  <si>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</si>
  <si>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</si>
  <si>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</si>
  <si>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</si>
  <si>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</si>
  <si>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</si>
  <si>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</si>
  <si>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</si>
  <si>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</si>
  <si>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</si>
  <si>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</si>
  <si>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</si>
  <si>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</si>
  <si>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</si>
  <si>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</si>
  <si>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</si>
  <si>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</si>
  <si>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</si>
  <si>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</si>
  <si>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</si>
  <si>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</si>
  <si>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</si>
  <si>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</si>
  <si>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</si>
  <si>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</si>
  <si>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</si>
  <si>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</si>
  <si>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</si>
  <si>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</si>
  <si>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</si>
  <si>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</si>
  <si>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</si>
  <si>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</si>
  <si>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</si>
  <si>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</si>
  <si>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</si>
  <si>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</si>
  <si>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</si>
  <si>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</si>
  <si>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</si>
  <si>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</si>
  <si>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</si>
  <si>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</si>
  <si>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</si>
  <si>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</si>
  <si>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</si>
  <si>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</si>
  <si>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</si>
  <si>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</si>
  <si>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</si>
  <si>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</si>
  <si>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</si>
  <si>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</si>
  <si>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</si>
  <si>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</si>
  <si>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</si>
  <si>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</si>
  <si>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</si>
  <si>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</si>
  <si>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</si>
  <si>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</si>
  <si>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</si>
  <si>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</si>
  <si>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</si>
  <si>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</si>
  <si>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</si>
  <si>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</si>
  <si>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</si>
  <si>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</si>
  <si>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</si>
  <si>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</si>
  <si>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</si>
  <si>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</si>
  <si>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</si>
  <si>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</si>
  <si>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</si>
  <si>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</si>
  <si>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</si>
  <si>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</si>
  <si>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</si>
  <si>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</si>
  <si>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</si>
  <si>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</si>
  <si>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</si>
  <si>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</si>
  <si>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</si>
  <si>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</si>
  <si>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</si>
  <si>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</si>
  <si>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</si>
  <si>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</si>
  <si>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</si>
  <si>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</si>
  <si>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</si>
  <si>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</si>
  <si>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</si>
  <si>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</si>
  <si>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</si>
  <si>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</si>
  <si>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</si>
  <si>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</si>
  <si>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</si>
  <si>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</si>
  <si>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</si>
  <si>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</si>
  <si>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</si>
  <si>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</si>
  <si>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</si>
  <si>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</si>
  <si>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</si>
  <si>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</si>
  <si>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</si>
  <si>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</si>
  <si>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</si>
  <si>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</si>
  <si>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</si>
  <si>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</si>
  <si>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</si>
  <si>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</si>
  <si>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</si>
  <si>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</si>
  <si>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</si>
  <si>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</si>
  <si>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</si>
  <si>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</si>
  <si>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</si>
  <si>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</si>
  <si>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</si>
  <si>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</si>
  <si>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</si>
  <si>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</si>
  <si>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</si>
  <si>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</si>
  <si>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</si>
  <si>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</si>
  <si>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</si>
  <si>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</si>
  <si>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</si>
  <si>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</si>
  <si>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</si>
  <si>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</si>
  <si>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</si>
  <si>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</si>
  <si>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</si>
  <si>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</si>
  <si>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</si>
  <si>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</si>
  <si>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</si>
  <si>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</si>
  <si>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</si>
  <si>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</si>
  <si>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</si>
  <si>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</si>
  <si>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</si>
  <si>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</si>
  <si>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</si>
  <si>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</si>
  <si>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</si>
  <si>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</si>
  <si>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</si>
  <si>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</si>
  <si>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</si>
  <si>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</si>
  <si>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</si>
  <si>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</si>
  <si>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</si>
  <si>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</si>
  <si>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</si>
  <si>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</si>
  <si>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</si>
  <si>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</si>
  <si>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</si>
  <si>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</si>
  <si>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</si>
  <si>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</si>
  <si>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</si>
  <si>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</si>
  <si>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</si>
  <si>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</si>
  <si>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</si>
  <si>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</si>
  <si>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</si>
  <si>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</si>
  <si>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</si>
  <si>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</si>
  <si>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</si>
  <si>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</si>
  <si>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</si>
  <si>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</si>
  <si>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</si>
  <si>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</si>
  <si>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</si>
  <si>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</si>
  <si>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</si>
  <si>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</si>
  <si>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</si>
  <si>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</si>
  <si>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</si>
  <si>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</si>
  <si>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</si>
  <si>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</si>
  <si>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</si>
  <si>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</si>
  <si>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</si>
  <si>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</si>
  <si>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</si>
  <si>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</si>
  <si>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</si>
  <si>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</si>
  <si>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</si>
  <si>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</si>
  <si>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</si>
  <si>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</si>
  <si>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</si>
  <si>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</si>
  <si>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</si>
  <si>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</si>
  <si>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</si>
  <si>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</si>
  <si>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</si>
  <si>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</si>
  <si>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</si>
  <si>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</si>
  <si>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</si>
  <si>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</si>
  <si>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</si>
  <si>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</si>
  <si>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</si>
  <si>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</si>
  <si>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</si>
  <si>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</si>
  <si>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</si>
  <si>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</si>
  <si>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</si>
  <si>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</si>
  <si>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</si>
  <si>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</si>
  <si>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</si>
  <si>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</si>
  <si>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</si>
  <si>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</si>
  <si>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</si>
  <si>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</si>
  <si>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</si>
  <si>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</si>
  <si>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</si>
  <si>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</si>
  <si>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</si>
  <si>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</si>
  <si>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</si>
  <si>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</si>
  <si>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</si>
  <si>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</si>
  <si>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</si>
  <si>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</si>
  <si>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</si>
  <si>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</si>
  <si>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</si>
  <si>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</si>
  <si>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</si>
  <si>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</si>
  <si>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</si>
  <si>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</si>
  <si>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</si>
  <si>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</si>
  <si>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</si>
  <si>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</si>
  <si>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</si>
  <si>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</si>
  <si>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</si>
  <si>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</si>
  <si>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</si>
  <si>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</si>
  <si>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</si>
  <si>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</si>
  <si>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</si>
  <si>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</si>
  <si>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</si>
  <si>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</si>
  <si>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</si>
  <si>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</si>
  <si>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</si>
  <si>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</si>
  <si>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</si>
  <si>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</si>
  <si>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</si>
  <si>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</si>
  <si>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</si>
  <si>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</si>
  <si>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</si>
  <si>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</si>
  <si>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</si>
  <si>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</si>
  <si>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</si>
  <si>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</si>
  <si>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</si>
  <si>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</si>
  <si>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</si>
  <si>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</si>
  <si>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</si>
  <si>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</si>
  <si>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</si>
  <si>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</si>
  <si>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</si>
  <si>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</si>
  <si>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</si>
  <si>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</si>
  <si>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</si>
  <si>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</si>
  <si>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</si>
  <si>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</si>
  <si>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</si>
  <si>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</si>
  <si>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</si>
  <si>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</si>
  <si>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</si>
  <si>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</si>
  <si>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</si>
  <si>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</si>
  <si>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</si>
  <si>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</si>
  <si>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</si>
  <si>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</si>
  <si>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</si>
  <si>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</si>
  <si>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</si>
  <si>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</si>
  <si>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</si>
  <si>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</si>
  <si>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</si>
  <si>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</si>
  <si>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</si>
  <si>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</si>
  <si>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</si>
  <si>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</si>
  <si>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</si>
  <si>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</si>
  <si>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</si>
  <si>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</si>
  <si>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</si>
  <si>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</si>
  <si>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</si>
  <si>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</si>
  <si>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</si>
  <si>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</si>
  <si>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</si>
  <si>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</si>
  <si>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</si>
  <si>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</si>
  <si>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</si>
  <si>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</si>
  <si>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</si>
  <si>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</si>
  <si>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</si>
  <si>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</si>
  <si>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</si>
  <si>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</si>
  <si>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</si>
  <si>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</si>
  <si>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</si>
  <si>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</si>
  <si>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</si>
  <si>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</si>
  <si>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</si>
  <si>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</si>
  <si>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</si>
  <si>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</si>
  <si>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</si>
  <si>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</si>
  <si>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</si>
  <si>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</si>
  <si>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</si>
  <si>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</si>
  <si>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</si>
  <si>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</si>
  <si>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</si>
  <si>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</si>
  <si>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</si>
  <si>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</si>
  <si>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</si>
  <si>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</si>
  <si>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</si>
  <si>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</si>
  <si>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</si>
  <si>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</si>
  <si>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</si>
  <si>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</si>
  <si>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</si>
  <si>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</si>
  <si>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</si>
  <si>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</si>
  <si>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</si>
  <si>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</si>
  <si>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</si>
  <si>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</si>
  <si>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</si>
  <si>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</si>
  <si>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</si>
  <si>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</si>
  <si>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</si>
  <si>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</si>
  <si>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</si>
  <si>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</si>
  <si>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</si>
  <si>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</si>
  <si>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</si>
  <si>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</si>
  <si>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</si>
  <si>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</si>
  <si>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</si>
  <si>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</si>
  <si>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</si>
  <si>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</si>
  <si>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</si>
  <si>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</si>
  <si>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</si>
  <si>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</si>
  <si>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</si>
  <si>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</si>
  <si>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</si>
  <si>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</si>
  <si>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</si>
  <si>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</si>
  <si>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</si>
  <si>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</si>
  <si>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</si>
  <si>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</si>
  <si>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</si>
  <si>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</si>
  <si>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</si>
  <si>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</si>
  <si>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</si>
  <si>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</si>
  <si>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</si>
  <si>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</si>
  <si>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</si>
  <si>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</si>
  <si>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</si>
  <si>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</si>
  <si>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</si>
  <si>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</si>
  <si>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</si>
  <si>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</si>
  <si>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</si>
  <si>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</si>
  <si>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</si>
  <si>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</si>
  <si>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</si>
  <si>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</si>
  <si>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</si>
  <si>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</si>
  <si>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</si>
  <si>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</si>
  <si>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</si>
  <si>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</si>
  <si>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</si>
  <si>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</si>
  <si>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</si>
  <si>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</si>
  <si>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</si>
  <si>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</si>
  <si>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</si>
  <si>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</si>
  <si>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</si>
  <si>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</si>
  <si>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</si>
  <si>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</si>
  <si>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</si>
  <si>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</si>
  <si>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</si>
  <si>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</si>
  <si>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</si>
  <si>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</si>
  <si>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</si>
  <si>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</si>
  <si>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</si>
  <si>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</si>
  <si>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</si>
  <si>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</si>
  <si>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</si>
  <si>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</si>
  <si>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</si>
  <si>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</si>
  <si>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</si>
  <si>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</si>
  <si>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</si>
  <si>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</si>
  <si>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</si>
  <si>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</si>
  <si>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</si>
  <si>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</si>
  <si>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</si>
  <si>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</si>
  <si>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</si>
  <si>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</si>
  <si>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</si>
  <si>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</si>
  <si>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</si>
  <si>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</si>
  <si>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</si>
  <si>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</si>
  <si>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</si>
  <si>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</si>
  <si>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</si>
  <si>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</si>
  <si>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</si>
  <si>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</si>
  <si>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</si>
  <si>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</si>
  <si>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</si>
  <si>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</si>
  <si>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</si>
  <si>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</si>
  <si>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</si>
  <si>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</si>
  <si>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</si>
  <si>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</si>
  <si>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</si>
  <si>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</si>
  <si>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</si>
  <si>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</si>
  <si>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</si>
  <si>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</si>
  <si>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</si>
  <si>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</si>
  <si>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</si>
  <si>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</si>
  <si>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</si>
  <si>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</si>
  <si>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</si>
  <si>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</si>
  <si>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</si>
  <si>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</si>
  <si>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</si>
  <si>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</si>
  <si>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</si>
  <si>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</si>
  <si>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</si>
  <si>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</si>
  <si>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</si>
  <si>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</si>
  <si>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</si>
  <si>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</si>
  <si>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</si>
  <si>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</si>
  <si>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</si>
  <si>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</si>
  <si>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</si>
  <si>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</si>
  <si>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</si>
  <si>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</si>
  <si>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</si>
  <si>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</si>
  <si>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</si>
  <si>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</si>
  <si>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</si>
  <si>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</si>
  <si>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</si>
  <si>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</si>
  <si>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</si>
  <si>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</si>
  <si>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</si>
  <si>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</si>
  <si>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</si>
  <si>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</si>
  <si>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</si>
  <si>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</si>
  <si>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</si>
  <si>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</si>
  <si>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</si>
  <si>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</si>
  <si>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</si>
  <si>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</si>
  <si>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</si>
  <si>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</si>
  <si>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</si>
  <si>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</si>
  <si>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</si>
  <si>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</si>
  <si>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</si>
  <si>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</si>
  <si>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</si>
  <si>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</si>
  <si>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</si>
  <si>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</si>
  <si>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</si>
  <si>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</si>
  <si>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</si>
  <si>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</si>
  <si>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</si>
  <si>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</si>
  <si>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</si>
  <si>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</si>
  <si>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</si>
  <si>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</si>
  <si>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</si>
  <si>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</si>
  <si>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</si>
  <si>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</si>
  <si>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</si>
  <si>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</si>
  <si>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</si>
  <si>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</si>
  <si>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</si>
  <si>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</si>
  <si>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</si>
  <si>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</si>
  <si>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</si>
  <si>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</si>
  <si>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</si>
  <si>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</si>
  <si>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</si>
  <si>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</si>
  <si>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</si>
  <si>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</si>
  <si>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</si>
  <si>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</si>
  <si>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</si>
  <si>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</si>
  <si>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</si>
  <si>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</si>
  <si>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</si>
  <si>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</si>
  <si>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</si>
  <si>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</si>
  <si>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</si>
  <si>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</si>
  <si>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</si>
  <si>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</si>
  <si>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</si>
  <si>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</si>
  <si>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</si>
  <si>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</si>
  <si>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</si>
  <si>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</si>
  <si>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</si>
  <si>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</si>
  <si>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</si>
  <si>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</si>
  <si>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</si>
  <si>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</si>
  <si>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</si>
  <si>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</si>
  <si>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</si>
  <si>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</si>
  <si>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</si>
  <si>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</si>
  <si>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</si>
  <si>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</si>
  <si>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</si>
  <si>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</si>
  <si>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</si>
  <si>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</si>
  <si>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</si>
  <si>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</si>
  <si>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</si>
  <si>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</si>
  <si>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</si>
  <si>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</si>
  <si>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</si>
  <si>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</si>
  <si>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</si>
  <si>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</si>
  <si>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</si>
  <si>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</si>
  <si>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</si>
  <si>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</si>
  <si>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</si>
  <si>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</si>
  <si>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</si>
  <si>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</si>
  <si>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</si>
  <si>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</si>
  <si>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</si>
  <si>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</si>
  <si>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</si>
  <si>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</si>
  <si>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</si>
  <si>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</si>
  <si>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</si>
  <si>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</si>
  <si>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</si>
  <si>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</si>
  <si>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</si>
  <si>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</si>
  <si>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</si>
  <si>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</si>
  <si>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</si>
  <si>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</si>
  <si>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</si>
  <si>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</si>
  <si>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</si>
  <si>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</si>
  <si>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</si>
  <si>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</si>
  <si>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</si>
  <si>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</si>
  <si>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</si>
  <si>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</si>
  <si>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</si>
  <si>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</si>
  <si>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</si>
  <si>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</si>
  <si>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</si>
  <si>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</si>
  <si>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</si>
  <si>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</si>
  <si>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</si>
  <si>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</si>
  <si>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</si>
  <si>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</si>
  <si>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</si>
  <si>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</si>
  <si>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</si>
  <si>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</si>
  <si>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</si>
  <si>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</si>
  <si>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</si>
  <si>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</si>
  <si>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</si>
  <si>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</si>
  <si>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</si>
  <si>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</si>
  <si>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</si>
  <si>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</si>
  <si>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</si>
  <si>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</si>
  <si>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</si>
  <si>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</si>
  <si>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</si>
  <si>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</si>
  <si>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</si>
  <si>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</si>
  <si>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</si>
  <si>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</si>
  <si>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</si>
  <si>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</si>
  <si>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</si>
  <si>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</si>
  <si>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</si>
  <si>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</si>
  <si>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</si>
  <si>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</si>
  <si>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</si>
  <si>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</si>
  <si>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</si>
  <si>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</si>
  <si>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</si>
  <si>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</si>
  <si>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</si>
  <si>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</si>
  <si>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</si>
  <si>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</si>
  <si>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</si>
  <si>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</si>
  <si>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</si>
  <si>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</si>
  <si>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</si>
  <si>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</si>
  <si>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</si>
  <si>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</si>
  <si>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</si>
  <si>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</si>
  <si>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</si>
  <si>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</si>
  <si>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</si>
  <si>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</si>
  <si>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</si>
  <si>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</si>
  <si>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</si>
  <si>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</si>
  <si>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</si>
  <si>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</si>
  <si>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</si>
  <si>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</si>
  <si>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</si>
  <si>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</si>
  <si>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</si>
  <si>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</si>
  <si>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</si>
  <si>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</si>
  <si>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</si>
  <si>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</si>
  <si>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</si>
  <si>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</si>
  <si>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</si>
  <si>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</si>
  <si>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</si>
  <si>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</si>
  <si>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</si>
  <si>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</si>
  <si>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</si>
  <si>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</si>
  <si>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</si>
  <si>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</si>
  <si>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</si>
  <si>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</si>
  <si>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</si>
  <si>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</si>
  <si>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</si>
  <si>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</si>
  <si>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</si>
  <si>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</si>
  <si>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</si>
  <si>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</si>
  <si>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</si>
  <si>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</si>
  <si>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</si>
  <si>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</si>
  <si>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</si>
  <si>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</si>
  <si>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</si>
  <si>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</si>
  <si>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</si>
  <si>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</si>
  <si>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</si>
  <si>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</si>
  <si>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</si>
  <si>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</si>
  <si>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</si>
  <si>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</si>
  <si>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</si>
  <si>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</si>
  <si>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</si>
  <si>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</si>
  <si>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</si>
  <si>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</si>
  <si>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</si>
  <si>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</si>
  <si>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</si>
  <si>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</si>
  <si>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</si>
  <si>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</si>
  <si>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</si>
  <si>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</si>
  <si>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</si>
  <si>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</si>
  <si>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</si>
  <si>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</si>
  <si>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</si>
  <si>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</si>
  <si>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</si>
  <si>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</si>
  <si>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</si>
  <si>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</si>
  <si>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</si>
  <si>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</si>
  <si>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</si>
  <si>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</si>
  <si>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</si>
  <si>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</si>
  <si>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</si>
  <si>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</si>
  <si>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</si>
  <si>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</si>
  <si>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</si>
  <si>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</si>
  <si>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</si>
  <si>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</si>
  <si>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</si>
  <si>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</si>
  <si>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</si>
  <si>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</si>
  <si>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</si>
  <si>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</si>
  <si>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</si>
  <si>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</si>
  <si>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</si>
  <si>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</si>
  <si>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</si>
  <si>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</si>
  <si>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</si>
  <si>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</si>
  <si>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</si>
  <si>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</si>
  <si>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</si>
  <si>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</si>
  <si>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</si>
  <si>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</si>
  <si>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</si>
  <si>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</si>
  <si>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</si>
  <si>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</si>
  <si>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</si>
  <si>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</si>
  <si>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</si>
  <si>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</si>
  <si>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</si>
  <si>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</si>
  <si>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</si>
  <si>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</si>
  <si>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</si>
  <si>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</si>
  <si>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</si>
  <si>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</si>
  <si>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</si>
  <si>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</si>
  <si>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</si>
  <si>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</si>
  <si>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</si>
  <si>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</si>
  <si>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</si>
  <si>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</si>
  <si>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</si>
  <si>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</si>
  <si>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</si>
  <si>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</si>
  <si>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</si>
  <si>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</si>
  <si>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</si>
  <si>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</si>
  <si>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</si>
  <si>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</si>
  <si>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</si>
  <si>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</si>
  <si>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</si>
  <si>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</si>
  <si>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</si>
  <si>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</si>
  <si>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</si>
  <si>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</si>
  <si>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</si>
  <si>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</si>
  <si>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</si>
  <si>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</si>
  <si>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</si>
  <si>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</si>
  <si>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</si>
  <si>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</si>
  <si>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</si>
  <si>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</si>
  <si>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</si>
  <si>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</si>
  <si>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</si>
  <si>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</si>
  <si>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</si>
  <si>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</si>
  <si>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</si>
  <si>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</si>
  <si>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</si>
  <si>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</si>
  <si>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</si>
  <si>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</si>
  <si>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</si>
  <si>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</si>
  <si>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</si>
  <si>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</si>
  <si>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</si>
  <si>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</si>
  <si>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</si>
  <si>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</si>
  <si>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</si>
  <si>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</si>
  <si>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</si>
  <si>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</si>
  <si>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</si>
  <si>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</si>
  <si>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</si>
  <si>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</si>
  <si>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</si>
  <si>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</si>
  <si>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</si>
  <si>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</si>
  <si>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</si>
  <si>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</si>
  <si>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</si>
  <si>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</si>
  <si>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</si>
  <si>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</si>
  <si>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</si>
  <si>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</si>
  <si>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</si>
  <si>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</si>
  <si>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</si>
  <si>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</si>
  <si>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</si>
  <si>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</si>
  <si>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</si>
  <si>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</si>
  <si>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</si>
  <si>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</si>
  <si>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</si>
  <si>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</si>
  <si>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</si>
  <si>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</si>
  <si>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</si>
  <si>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</si>
  <si>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</si>
  <si>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</si>
  <si>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</si>
  <si>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</si>
  <si>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</si>
  <si>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</si>
  <si>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</si>
  <si>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</si>
  <si>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</si>
  <si>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</si>
  <si>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</si>
  <si>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</si>
  <si>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</si>
  <si>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</si>
  <si>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</si>
  <si>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</si>
  <si>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</si>
  <si>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</si>
  <si>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</si>
  <si>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</si>
  <si>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</si>
  <si>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</si>
  <si>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</si>
  <si>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</si>
  <si>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</si>
  <si>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</si>
  <si>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</si>
  <si>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</si>
  <si>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</si>
  <si>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</si>
  <si>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</si>
  <si>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</si>
  <si>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</si>
  <si>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</si>
  <si>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</si>
  <si>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</si>
  <si>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</si>
  <si>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</si>
  <si>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</si>
  <si>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</si>
  <si>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</si>
  <si>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</si>
  <si>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</si>
  <si>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</si>
  <si>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</si>
  <si>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</si>
  <si>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</si>
  <si>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</si>
  <si>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</si>
  <si>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</si>
  <si>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</si>
  <si>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</si>
  <si>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</si>
  <si>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</si>
  <si>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</si>
  <si>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</si>
  <si>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</si>
  <si>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</si>
  <si>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</si>
  <si>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</si>
  <si>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</si>
  <si>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</si>
  <si>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</si>
  <si>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</si>
  <si>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</si>
  <si>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</si>
  <si>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</si>
  <si>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</si>
  <si>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</si>
  <si>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</si>
  <si>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</si>
  <si>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</si>
  <si>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</si>
  <si>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</si>
  <si>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</si>
  <si>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</si>
  <si>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</si>
  <si>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</si>
  <si>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</si>
  <si>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</si>
  <si>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</si>
  <si>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</si>
  <si>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</si>
  <si>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</si>
  <si>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</si>
  <si>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</si>
  <si>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</si>
  <si>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</si>
  <si>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</si>
  <si>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</si>
  <si>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</si>
  <si>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</si>
  <si>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</si>
  <si>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</si>
  <si>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</si>
  <si>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</si>
  <si>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</si>
  <si>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</si>
  <si>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</si>
  <si>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</si>
  <si>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</si>
  <si>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</si>
  <si>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</si>
  <si>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</si>
  <si>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</si>
  <si>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</si>
  <si>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</si>
  <si>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</si>
  <si>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</si>
  <si>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</si>
  <si>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</si>
  <si>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</si>
  <si>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</si>
  <si>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</si>
  <si>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</si>
  <si>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</si>
  <si>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</si>
  <si>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</si>
  <si>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</si>
  <si>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</si>
  <si>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</si>
  <si>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</si>
  <si>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</si>
  <si>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</si>
  <si>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</si>
  <si>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</si>
  <si>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</si>
  <si>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</si>
  <si>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</si>
  <si>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</si>
  <si>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</si>
  <si>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</si>
  <si>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</si>
  <si>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</si>
  <si>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</si>
  <si>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</si>
  <si>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</si>
  <si>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</si>
  <si>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</si>
  <si>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</si>
  <si>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</si>
  <si>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</si>
  <si>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</si>
  <si>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</si>
  <si>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</si>
  <si>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</si>
  <si>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</si>
  <si>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</si>
  <si>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</si>
  <si>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</si>
  <si>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</si>
  <si>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</si>
  <si>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</si>
  <si>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</si>
  <si>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</si>
  <si>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</si>
  <si>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</si>
  <si>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</si>
  <si>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</si>
  <si>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</si>
  <si>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</si>
  <si>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</si>
  <si>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</si>
  <si>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</si>
  <si>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</si>
  <si>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</si>
  <si>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</si>
  <si>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</si>
  <si>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</si>
  <si>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</si>
  <si>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</si>
  <si>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</si>
  <si>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</si>
  <si>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</si>
  <si>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</si>
  <si>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</si>
  <si>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</si>
  <si>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</si>
  <si>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</si>
  <si>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</si>
  <si>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</si>
  <si>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</si>
  <si>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</si>
  <si>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</si>
  <si>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</si>
  <si>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</si>
  <si>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</si>
  <si>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</si>
  <si>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</si>
  <si>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</si>
  <si>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</si>
  <si>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</si>
  <si>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</si>
  <si>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</si>
  <si>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</si>
  <si>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</si>
  <si>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</si>
  <si>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</si>
  <si>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</si>
  <si>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</si>
  <si>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</si>
  <si>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</si>
  <si>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</si>
  <si>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</si>
  <si>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</si>
  <si>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</si>
  <si>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</si>
  <si>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</si>
  <si>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</si>
  <si>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</si>
  <si>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</si>
  <si>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</si>
  <si>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</si>
  <si>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</si>
  <si>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</si>
  <si>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</si>
  <si>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</si>
  <si>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</si>
  <si>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</si>
  <si>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</si>
  <si>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</si>
  <si>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</si>
  <si>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</si>
  <si>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</si>
  <si>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</si>
  <si>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</si>
  <si>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</si>
  <si>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</si>
  <si>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</si>
  <si>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</si>
  <si>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</si>
  <si>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</si>
  <si>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</si>
  <si>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</si>
  <si>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</si>
  <si>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</si>
  <si>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</si>
  <si>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</si>
  <si>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</si>
  <si>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</si>
  <si>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</si>
  <si>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</si>
  <si>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</si>
  <si>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</si>
  <si>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</si>
  <si>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</si>
  <si>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</si>
  <si>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</si>
  <si>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</si>
  <si>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</si>
  <si>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</si>
  <si>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</si>
  <si>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</si>
  <si>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</si>
  <si>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</si>
  <si>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</si>
  <si>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</si>
  <si>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</si>
  <si>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</si>
  <si>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</si>
  <si>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</si>
  <si>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</si>
  <si>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</si>
  <si>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</si>
  <si>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</si>
  <si>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</si>
  <si>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</si>
  <si>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</si>
  <si>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</si>
  <si>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</si>
  <si>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</si>
  <si>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</si>
  <si>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</si>
  <si>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</si>
  <si>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</si>
  <si>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</si>
  <si>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</si>
  <si>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</si>
  <si>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</si>
  <si>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</si>
  <si>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</si>
  <si>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</si>
  <si>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</si>
  <si>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</si>
  <si>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</si>
  <si>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</si>
  <si>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</si>
  <si>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</si>
  <si>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</si>
  <si>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</si>
  <si>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</si>
  <si>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</si>
  <si>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</si>
  <si>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</si>
  <si>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</si>
  <si>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</si>
  <si>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</si>
  <si>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</si>
  <si>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</si>
  <si>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</si>
  <si>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</si>
  <si>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</si>
  <si>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</si>
  <si>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</si>
  <si>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</si>
  <si>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</si>
  <si>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</si>
  <si>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</si>
  <si>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</si>
  <si>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</si>
  <si>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</si>
  <si>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</si>
  <si>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</si>
  <si>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</si>
  <si>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</si>
  <si>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</si>
  <si>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</si>
  <si>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</si>
  <si>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</si>
  <si>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</si>
  <si>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</si>
  <si>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</si>
  <si>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</si>
  <si>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</si>
  <si>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</si>
  <si>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</si>
  <si>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</si>
  <si>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</si>
  <si>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</si>
  <si>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</si>
  <si>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</si>
  <si>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</si>
  <si>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</si>
  <si>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</si>
  <si>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</si>
  <si>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</si>
  <si>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</si>
  <si>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</si>
  <si>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</si>
  <si>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</si>
  <si>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</si>
  <si>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</si>
  <si>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</si>
  <si>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</si>
  <si>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</si>
  <si>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</si>
  <si>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</si>
  <si>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</si>
  <si>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</si>
  <si>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</si>
  <si>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</si>
  <si>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</si>
  <si>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</si>
  <si>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</si>
  <si>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</si>
  <si>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</si>
  <si>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</si>
  <si>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</si>
  <si>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</si>
  <si>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</si>
  <si>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</si>
  <si>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</si>
  <si>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</si>
  <si>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</si>
  <si>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</si>
  <si>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</si>
  <si>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</si>
  <si>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</si>
  <si>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</si>
  <si>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</si>
  <si>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</si>
  <si>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</si>
  <si>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</si>
  <si>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</si>
  <si>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</si>
  <si>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</si>
  <si>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</si>
  <si>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</si>
  <si>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</si>
  <si>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</si>
  <si>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</si>
  <si>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</si>
  <si>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</si>
  <si>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</si>
  <si>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</si>
  <si>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</si>
  <si>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</si>
  <si>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</si>
  <si>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</si>
  <si>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</si>
  <si>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</si>
  <si>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</si>
  <si>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</si>
  <si>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</si>
  <si>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</si>
  <si>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</si>
  <si>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</si>
  <si>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</si>
  <si>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</si>
  <si>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</si>
  <si>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</si>
  <si>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</si>
  <si>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</si>
  <si>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</si>
  <si>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</si>
  <si>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</si>
  <si>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</si>
  <si>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</si>
  <si>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</si>
  <si>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</si>
  <si>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</si>
  <si>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</si>
  <si>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</si>
  <si>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</si>
  <si>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</si>
  <si>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</si>
  <si>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</si>
  <si>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</si>
  <si>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</si>
  <si>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</si>
  <si>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</si>
  <si>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</si>
  <si>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</si>
  <si>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</si>
  <si>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</si>
  <si>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</si>
  <si>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</si>
  <si>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</si>
  <si>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</si>
  <si>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</si>
  <si>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</si>
  <si>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</si>
  <si>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</si>
  <si>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</si>
  <si>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</si>
  <si>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</si>
  <si>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</si>
  <si>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</si>
  <si>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</si>
  <si>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</si>
  <si>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</si>
  <si>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</si>
  <si>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</si>
  <si>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</si>
  <si>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</si>
  <si>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</si>
  <si>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</si>
  <si>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</si>
  <si>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</si>
  <si>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</si>
  <si>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</si>
  <si>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</si>
  <si>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</si>
  <si>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</si>
  <si>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</si>
  <si>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</si>
  <si>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</si>
  <si>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</si>
  <si>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</si>
  <si>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</si>
  <si>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</si>
  <si>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</si>
  <si>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</si>
  <si>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</si>
  <si>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</si>
  <si>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</si>
  <si>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</si>
  <si>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</si>
  <si>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</si>
  <si>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</si>
  <si>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</si>
  <si>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</si>
  <si>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</si>
  <si>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</si>
  <si>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</si>
  <si>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</si>
  <si>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</si>
  <si>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</si>
  <si>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</si>
  <si>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</si>
  <si>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</si>
  <si>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</si>
  <si>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</si>
  <si>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</si>
  <si>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</si>
  <si>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</si>
  <si>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</si>
  <si>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</si>
  <si>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</si>
  <si>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</si>
  <si>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</si>
  <si>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</si>
  <si>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</si>
  <si>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</si>
  <si>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</si>
  <si>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</si>
  <si>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</si>
  <si>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</si>
  <si>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</si>
  <si>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</si>
  <si>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</si>
  <si>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</si>
  <si>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</si>
  <si>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</si>
  <si>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</si>
  <si>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</si>
  <si>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</si>
  <si>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</si>
  <si>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</si>
  <si>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</si>
  <si>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</si>
  <si>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</si>
  <si>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</si>
  <si>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</si>
  <si>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</si>
  <si>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</si>
  <si>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</si>
  <si>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</si>
  <si>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</si>
  <si>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</si>
  <si>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</si>
  <si>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</si>
  <si>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</si>
  <si>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</si>
  <si>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</si>
  <si>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</si>
  <si>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</si>
  <si>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</si>
  <si>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</si>
  <si>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</si>
  <si>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</si>
  <si>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</si>
  <si>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</si>
  <si>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</si>
  <si>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</si>
  <si>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</si>
  <si>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</si>
  <si>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</si>
  <si>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</si>
  <si>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</si>
  <si>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</si>
  <si>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</si>
  <si>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</si>
  <si>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</si>
  <si>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</si>
  <si>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</si>
  <si>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</si>
  <si>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</si>
  <si>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</si>
  <si>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</si>
  <si>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</si>
  <si>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</si>
  <si>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</si>
  <si>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</si>
  <si>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</si>
  <si>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</si>
  <si>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</si>
  <si>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</si>
  <si>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</si>
  <si>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</si>
  <si>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</si>
  <si>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</si>
  <si>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</si>
  <si>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</si>
  <si>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</si>
  <si>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</si>
  <si>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</si>
  <si>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</si>
  <si>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</si>
  <si>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</si>
  <si>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</si>
  <si>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</si>
  <si>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</si>
  <si>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</si>
  <si>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</si>
  <si>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</si>
  <si>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</si>
  <si>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</si>
  <si>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</si>
  <si>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</si>
  <si>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</si>
  <si>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</si>
  <si>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</si>
  <si>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</si>
  <si>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</si>
  <si>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</si>
  <si>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</si>
  <si>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</si>
  <si>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</si>
  <si>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</si>
  <si>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</si>
  <si>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</si>
  <si>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</si>
  <si>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</si>
  <si>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</si>
  <si>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</si>
  <si>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</si>
  <si>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</si>
  <si>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</si>
  <si>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</si>
  <si>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</si>
  <si>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</si>
  <si>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</si>
  <si>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</si>
  <si>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</si>
  <si>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</si>
  <si>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</si>
  <si>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</si>
  <si>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</si>
  <si>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</si>
  <si>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</si>
  <si>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</si>
  <si>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</si>
  <si>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</si>
  <si>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</si>
  <si>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</si>
  <si>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</si>
  <si>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</si>
  <si>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</si>
  <si>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</si>
  <si>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</si>
  <si>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</si>
  <si>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</si>
  <si>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</si>
  <si>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</si>
  <si>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</si>
  <si>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</si>
  <si>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</si>
  <si>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</si>
  <si>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</si>
  <si>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</si>
  <si>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</si>
  <si>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</si>
  <si>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</si>
  <si>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</si>
  <si>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</si>
  <si>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</si>
  <si>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</si>
  <si>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</si>
  <si>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</si>
  <si>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</si>
  <si>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</si>
  <si>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</si>
  <si>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</si>
  <si>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</si>
  <si>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</si>
  <si>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</si>
  <si>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</si>
  <si>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</si>
  <si>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</si>
  <si>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</si>
  <si>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</si>
  <si>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</si>
  <si>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</si>
  <si>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</si>
  <si>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</si>
  <si>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</si>
  <si>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</si>
  <si>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</si>
  <si>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</si>
  <si>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</si>
  <si>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</si>
  <si>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</si>
  <si>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</si>
  <si>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</si>
  <si>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</si>
  <si>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</si>
  <si>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</si>
  <si>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</si>
  <si>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</si>
  <si>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</si>
  <si>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</si>
  <si>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</si>
  <si>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</si>
  <si>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</si>
  <si>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</si>
  <si>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</si>
  <si>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</si>
  <si>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</si>
  <si>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</si>
  <si>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</si>
  <si>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</si>
  <si>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</si>
  <si>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</si>
  <si>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</si>
  <si>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</si>
  <si>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</si>
  <si>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</si>
  <si>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</si>
  <si>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</si>
  <si>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</si>
  <si>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</si>
  <si>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</si>
  <si>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</si>
  <si>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</si>
  <si>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</si>
  <si>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</si>
  <si>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</si>
  <si>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</si>
  <si>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</si>
  <si>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</si>
  <si>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</si>
  <si>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</si>
  <si>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</si>
  <si>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</si>
  <si>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</si>
  <si>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</si>
  <si>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</si>
  <si>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</si>
  <si>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</si>
  <si>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</si>
  <si>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</si>
  <si>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</si>
  <si>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</si>
  <si>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</si>
  <si>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</si>
  <si>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</si>
  <si>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</si>
  <si>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</si>
  <si>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</si>
  <si>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</si>
  <si>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</si>
  <si>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</si>
  <si>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</si>
  <si>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</si>
  <si>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</si>
  <si>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</si>
  <si>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</si>
  <si>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</si>
  <si>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</si>
  <si>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</si>
  <si>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</si>
  <si>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</si>
  <si>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</si>
  <si>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</si>
  <si>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</si>
  <si>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</si>
  <si>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</si>
  <si>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</si>
  <si>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</si>
  <si>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</si>
  <si>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</si>
  <si>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</si>
  <si>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</si>
  <si>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</si>
  <si>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</si>
  <si>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</si>
  <si>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</si>
  <si>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</si>
  <si>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</si>
  <si>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</si>
  <si>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</si>
  <si>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</si>
  <si>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</si>
  <si>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</si>
  <si>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</si>
  <si>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</si>
  <si>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</si>
  <si>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</si>
  <si>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</si>
  <si>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</si>
  <si>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</si>
  <si>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</si>
  <si>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</si>
  <si>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</si>
  <si>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</si>
  <si>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</si>
  <si>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</si>
  <si>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</si>
  <si>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</si>
  <si>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</si>
  <si>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</si>
  <si>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</si>
  <si>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</si>
  <si>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</si>
  <si>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</si>
  <si>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</si>
  <si>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</si>
  <si>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</si>
  <si>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</si>
  <si>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</si>
  <si>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</si>
  <si>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</si>
  <si>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</si>
  <si>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</si>
  <si>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</si>
  <si>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</si>
  <si>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</si>
  <si>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</si>
  <si>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</si>
  <si>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</si>
  <si>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</si>
  <si>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</si>
  <si>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</si>
  <si>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</si>
  <si>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</si>
  <si>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</si>
  <si>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</si>
  <si>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</si>
  <si>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</si>
  <si>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</si>
  <si>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</si>
  <si>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</si>
  <si>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</si>
  <si>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</si>
  <si>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</si>
  <si>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</si>
  <si>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</si>
  <si>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</si>
  <si>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</si>
  <si>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</si>
  <si>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</si>
  <si>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</si>
  <si>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</si>
  <si>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</si>
  <si>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</si>
  <si>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</si>
  <si>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</si>
  <si>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</si>
  <si>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</si>
  <si>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</si>
  <si>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</si>
  <si>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</si>
  <si>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</si>
  <si>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</si>
  <si>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</si>
  <si>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</si>
  <si>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</si>
  <si>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</si>
  <si>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</si>
  <si>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</si>
  <si>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</si>
  <si>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</si>
  <si>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</si>
  <si>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</si>
  <si>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</si>
  <si>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</si>
  <si>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</si>
  <si>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</si>
  <si>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</si>
  <si>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</si>
  <si>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</si>
  <si>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</si>
  <si>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</si>
  <si>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</si>
  <si>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</si>
  <si>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</si>
  <si>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</si>
  <si>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</si>
  <si>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</si>
  <si>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</si>
  <si>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</si>
  <si>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</si>
  <si>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</si>
  <si>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</si>
  <si>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</si>
  <si>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</si>
  <si>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</si>
  <si>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</si>
  <si>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</si>
  <si>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</si>
  <si>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</si>
  <si>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</si>
  <si>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</si>
  <si>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</si>
  <si>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</si>
  <si>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</si>
  <si>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</si>
  <si>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</si>
  <si>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</si>
  <si>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</si>
  <si>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</si>
  <si>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</si>
  <si>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</si>
  <si>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</si>
  <si>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</si>
  <si>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</si>
  <si>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</si>
  <si>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</si>
  <si>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</si>
  <si>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</si>
  <si>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</si>
  <si>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</si>
  <si>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</si>
  <si>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</si>
  <si>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</si>
  <si>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</si>
  <si>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</si>
  <si>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</si>
  <si>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</si>
  <si>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</si>
  <si>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</si>
  <si>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</si>
  <si>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</si>
  <si>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</si>
  <si>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</si>
  <si>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</si>
  <si>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</si>
  <si>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</si>
  <si>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</si>
  <si>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</si>
  <si>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</si>
  <si>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</si>
  <si>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</si>
  <si>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</si>
  <si>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</si>
  <si>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</si>
  <si>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</si>
  <si>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</si>
  <si>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</si>
  <si>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</si>
  <si>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</si>
  <si>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</si>
  <si>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</si>
  <si>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</si>
  <si>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</si>
  <si>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</si>
  <si>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</si>
  <si>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</si>
  <si>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</si>
  <si>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</si>
  <si>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</si>
  <si>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</si>
  <si>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</si>
  <si>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</si>
  <si>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</si>
  <si>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</si>
  <si>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</si>
  <si>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</si>
  <si>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</si>
  <si>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</si>
  <si>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</si>
  <si>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</si>
  <si>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</si>
  <si>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</si>
  <si>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</si>
  <si>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</si>
  <si>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</si>
  <si>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</si>
  <si>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</si>
  <si>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</si>
  <si>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</si>
  <si>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</si>
  <si>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</si>
  <si>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</si>
  <si>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</si>
  <si>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</si>
  <si>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</si>
  <si>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</si>
  <si>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</si>
  <si>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</si>
  <si>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</si>
  <si>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</si>
  <si>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</si>
  <si>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</si>
  <si>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</si>
  <si>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</si>
  <si>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</si>
  <si>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</si>
  <si>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</si>
  <si>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</si>
  <si>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</si>
  <si>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</si>
  <si>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</si>
  <si>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</si>
  <si>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</si>
  <si>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</si>
  <si>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</si>
  <si>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</si>
  <si>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</si>
  <si>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</si>
  <si>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</si>
  <si>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</si>
  <si>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</si>
  <si>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</si>
  <si>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</si>
  <si>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</si>
  <si>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</si>
  <si>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</si>
  <si>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</si>
  <si>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</si>
  <si>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</si>
  <si>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</si>
  <si>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</si>
  <si>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</si>
  <si>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</si>
  <si>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</si>
  <si>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</si>
  <si>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</si>
  <si>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</si>
  <si>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</si>
  <si>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</si>
  <si>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</si>
  <si>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</si>
  <si>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</si>
  <si>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</si>
  <si>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</si>
  <si>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</si>
  <si>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</si>
  <si>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</si>
  <si>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</si>
  <si>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</si>
  <si>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</si>
  <si>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</si>
  <si>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</si>
  <si>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</si>
  <si>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</si>
  <si>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</si>
  <si>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</si>
  <si>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</si>
  <si>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</si>
  <si>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</si>
  <si>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</si>
  <si>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</si>
  <si>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</si>
  <si>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</si>
  <si>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</si>
  <si>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</si>
  <si>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</si>
  <si>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</si>
  <si>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</si>
  <si>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</si>
  <si>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</si>
  <si>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</si>
  <si>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</si>
  <si>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</si>
  <si>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</si>
  <si>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</si>
  <si>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</si>
  <si>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</si>
  <si>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</si>
  <si>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</si>
  <si>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</si>
  <si>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</si>
  <si>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</si>
  <si>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</si>
  <si>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</si>
  <si>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</si>
  <si>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</si>
  <si>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</si>
  <si>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</si>
  <si>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</si>
  <si>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</si>
  <si>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</si>
  <si>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</si>
  <si>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</si>
  <si>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</si>
  <si>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</si>
  <si>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</si>
  <si>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</si>
  <si>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</si>
  <si>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</si>
  <si>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</si>
  <si>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</si>
  <si>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</si>
  <si>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</si>
  <si>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</si>
  <si>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</si>
  <si>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</si>
  <si>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</si>
  <si>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</si>
  <si>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</si>
  <si>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</si>
  <si>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</si>
  <si>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</si>
  <si>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</si>
  <si>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</si>
  <si>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</si>
  <si>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</si>
  <si>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</si>
  <si>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</si>
  <si>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</si>
  <si>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</si>
  <si>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</si>
  <si>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</si>
  <si>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</si>
  <si>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</si>
  <si>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</si>
  <si>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</si>
  <si>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</si>
  <si>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</si>
  <si>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</si>
  <si>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</si>
  <si>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</si>
  <si>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</si>
  <si>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</si>
  <si>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</si>
  <si>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</si>
  <si>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</si>
  <si>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</si>
  <si>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</si>
  <si>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</si>
  <si>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</si>
  <si>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</si>
  <si>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</si>
  <si>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</si>
  <si>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</si>
  <si>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</si>
  <si>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</si>
  <si>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</si>
  <si>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</si>
  <si>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</si>
  <si>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</si>
  <si>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</si>
  <si>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</si>
  <si>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</si>
  <si>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</si>
  <si>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</si>
  <si>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</si>
  <si>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</si>
  <si>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</si>
  <si>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</si>
  <si>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</si>
  <si>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</si>
  <si>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</si>
  <si>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</si>
  <si>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</si>
  <si>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</si>
  <si>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</si>
  <si>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</si>
  <si>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</si>
  <si>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</si>
  <si>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</si>
  <si>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</si>
  <si>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</si>
  <si>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</si>
  <si>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</si>
  <si>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</si>
  <si>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</si>
  <si>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</si>
  <si>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</si>
  <si>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</si>
  <si>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</si>
  <si>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</si>
  <si>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</si>
  <si>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</si>
  <si>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</si>
  <si>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</si>
  <si>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</si>
  <si>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</si>
  <si>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</si>
  <si>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</si>
  <si>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</si>
  <si>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</si>
  <si>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</si>
  <si>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</si>
  <si>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</si>
  <si>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</si>
  <si>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</si>
  <si>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</si>
  <si>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</si>
  <si>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</si>
  <si>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</si>
  <si>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</si>
  <si>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</si>
  <si>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</si>
  <si>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</si>
  <si>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</si>
  <si>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</si>
  <si>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</si>
  <si>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</si>
  <si>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</si>
  <si>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</si>
  <si>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</si>
  <si>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</si>
  <si>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</si>
  <si>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</si>
  <si>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</si>
  <si>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</si>
  <si>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</si>
  <si>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</si>
  <si>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</si>
  <si>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</si>
  <si>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</si>
  <si>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</si>
  <si>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</si>
  <si>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</si>
  <si>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</si>
  <si>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</si>
  <si>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</si>
  <si>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</si>
  <si>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</si>
  <si>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</si>
  <si>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</si>
  <si>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</si>
  <si>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</si>
  <si>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</si>
  <si>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</si>
  <si>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</si>
  <si>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</si>
  <si>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</si>
  <si>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</si>
  <si>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</si>
  <si>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</si>
  <si>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</si>
  <si>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</si>
  <si>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</si>
  <si>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</si>
  <si>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</si>
  <si>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</si>
  <si>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</si>
  <si>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</si>
  <si>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</si>
  <si>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</si>
  <si>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</si>
  <si>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</si>
  <si>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</si>
  <si>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</si>
  <si>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</si>
  <si>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</si>
  <si>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</si>
  <si>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</si>
  <si>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</si>
  <si>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</si>
  <si>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</si>
  <si>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</si>
  <si>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</si>
  <si>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</si>
  <si>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</si>
  <si>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</si>
  <si>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</si>
  <si>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</si>
  <si>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</si>
  <si>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</si>
  <si>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</si>
  <si>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</si>
  <si>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</si>
  <si>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</si>
  <si>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</si>
  <si>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</si>
  <si>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</si>
  <si>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</si>
  <si>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</si>
  <si>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</si>
  <si>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</si>
  <si>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</si>
  <si>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</si>
  <si>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</si>
  <si>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</si>
  <si>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</si>
  <si>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</si>
  <si>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</si>
  <si>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</si>
  <si>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</si>
  <si>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</si>
  <si>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</si>
  <si>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</si>
  <si>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</si>
  <si>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</si>
  <si>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</si>
  <si>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</si>
  <si>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</si>
  <si>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</si>
  <si>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</si>
  <si>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</si>
  <si>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</si>
  <si>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</si>
  <si>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</si>
  <si>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</si>
  <si>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</si>
  <si>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</si>
  <si>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</si>
  <si>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</si>
  <si>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</si>
  <si>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</si>
  <si>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</si>
  <si>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</si>
  <si>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</si>
  <si>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</si>
  <si>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</si>
  <si>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</si>
  <si>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</si>
  <si>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</si>
  <si>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</si>
  <si>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</si>
  <si>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</si>
  <si>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</si>
  <si>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</si>
  <si>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</si>
  <si>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</si>
  <si>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</si>
  <si>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</si>
  <si>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</si>
  <si>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</si>
  <si>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</si>
  <si>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</si>
  <si>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</si>
  <si>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</si>
  <si>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</si>
  <si>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</si>
  <si>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</si>
  <si>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</si>
  <si>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</si>
  <si>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</si>
  <si>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</si>
  <si>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</si>
  <si>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</si>
  <si>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</si>
  <si>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</si>
  <si>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</si>
  <si>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</si>
  <si>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</si>
  <si>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</si>
  <si>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</si>
  <si>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</si>
  <si>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</si>
  <si>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</si>
  <si>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</si>
  <si>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</si>
  <si>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</si>
  <si>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</si>
  <si>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</si>
  <si>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</si>
  <si>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</si>
  <si>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</si>
  <si>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</si>
  <si>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</si>
  <si>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</si>
  <si>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</si>
  <si>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</si>
  <si>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</si>
  <si>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</si>
  <si>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</si>
  <si>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</si>
  <si>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</si>
  <si>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</si>
  <si>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</si>
  <si>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</si>
  <si>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</si>
  <si>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</si>
  <si>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</si>
  <si>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</si>
  <si>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</si>
  <si>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</si>
  <si>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</si>
  <si>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</si>
  <si>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</si>
  <si>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</si>
  <si>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</si>
  <si>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</si>
  <si>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</si>
  <si>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</si>
  <si>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</si>
  <si>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</si>
  <si>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</si>
  <si>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</si>
  <si>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</si>
  <si>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</si>
  <si>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</si>
  <si>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</si>
  <si>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</si>
  <si>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</si>
  <si>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</si>
  <si>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</si>
  <si>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</si>
  <si>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</si>
  <si>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</si>
  <si>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</si>
  <si>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</si>
  <si>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</si>
  <si>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</si>
  <si>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</si>
  <si>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</si>
  <si>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</si>
  <si>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</si>
  <si>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</si>
  <si>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</si>
  <si>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</si>
  <si>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</si>
  <si>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</si>
  <si>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</si>
  <si>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</si>
  <si>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</si>
  <si>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</si>
  <si>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</si>
  <si>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</si>
  <si>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</si>
  <si>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</si>
  <si>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</si>
  <si>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</si>
  <si>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</si>
  <si>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</si>
  <si>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</si>
  <si>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</si>
  <si>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</si>
  <si>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</si>
  <si>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</si>
  <si>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</si>
  <si>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</si>
  <si>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</si>
  <si>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</si>
  <si>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</si>
  <si>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</si>
  <si>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</si>
  <si>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</si>
  <si>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</si>
  <si>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</si>
  <si>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</si>
  <si>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</si>
  <si>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</si>
  <si>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</si>
  <si>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</si>
  <si>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</si>
  <si>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</si>
  <si>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</si>
  <si>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</si>
  <si>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</si>
  <si>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</si>
  <si>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</si>
  <si>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</si>
  <si>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</si>
  <si>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</si>
  <si>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</si>
  <si>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</si>
  <si>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</si>
  <si>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</si>
  <si>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</si>
  <si>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</si>
  <si>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</si>
  <si>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</si>
  <si>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</si>
  <si>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</si>
  <si>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</si>
  <si>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</si>
  <si>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</si>
  <si>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</si>
  <si>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</si>
  <si>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</si>
  <si>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</si>
  <si>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</si>
  <si>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</si>
  <si>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</si>
  <si>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</si>
  <si>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</si>
  <si>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</si>
  <si>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</si>
  <si>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</si>
  <si>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</si>
  <si>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</si>
  <si>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</si>
  <si>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</si>
  <si>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</si>
  <si>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</si>
  <si>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</si>
  <si>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</si>
  <si>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</si>
  <si>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</si>
  <si>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</si>
  <si>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</si>
  <si>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</si>
  <si>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</si>
  <si>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</si>
  <si>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</si>
  <si>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</si>
  <si>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</si>
  <si>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</si>
  <si>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</si>
  <si>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</si>
  <si>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</si>
  <si>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</si>
  <si>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</si>
  <si>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</si>
  <si>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</si>
  <si>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</si>
  <si>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</si>
  <si>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</si>
  <si>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</si>
  <si>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</si>
  <si>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</si>
  <si>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</si>
  <si>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</si>
  <si>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</si>
  <si>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</si>
  <si>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</si>
  <si>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</si>
  <si>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</si>
  <si>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</si>
  <si>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</si>
  <si>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</si>
  <si>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</si>
  <si>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</si>
  <si>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</si>
  <si>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</si>
  <si>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</si>
  <si>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</si>
  <si>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</si>
  <si>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</si>
  <si>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</si>
  <si>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</si>
  <si>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</si>
  <si>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</si>
  <si>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</si>
  <si>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</si>
  <si>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</si>
  <si>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</si>
  <si>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</si>
  <si>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</si>
  <si>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</si>
  <si>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</si>
  <si>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</si>
  <si>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</si>
  <si>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</si>
  <si>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</si>
  <si>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</si>
  <si>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</si>
  <si>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</si>
  <si>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</si>
  <si>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</si>
  <si>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</si>
  <si>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</si>
  <si>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</si>
  <si>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</si>
  <si>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</si>
  <si>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</si>
  <si>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</si>
  <si>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</si>
  <si>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</si>
  <si>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</si>
  <si>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</si>
  <si>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</si>
  <si>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</si>
  <si>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</si>
  <si>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</si>
  <si>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</si>
  <si>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</si>
  <si>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</si>
  <si>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</si>
  <si>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</si>
  <si>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</si>
  <si>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</si>
  <si>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</si>
  <si>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</si>
  <si>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</si>
  <si>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</si>
  <si>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</si>
  <si>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</si>
  <si>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</si>
  <si>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</si>
  <si>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</si>
  <si>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</si>
  <si>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</si>
  <si>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</si>
  <si>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</si>
  <si>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</si>
  <si>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</si>
  <si>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</si>
  <si>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</si>
  <si>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</si>
  <si>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</si>
  <si>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</si>
  <si>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</si>
  <si>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</si>
  <si>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</si>
  <si>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</si>
  <si>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</si>
  <si>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</si>
  <si>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</si>
  <si>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</si>
  <si>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</si>
  <si>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</si>
  <si>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</si>
  <si>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</si>
  <si>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</si>
  <si>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</si>
  <si>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</si>
  <si>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</si>
  <si>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</si>
  <si>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</si>
  <si>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</si>
  <si>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</si>
  <si>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</si>
  <si>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</si>
  <si>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</si>
  <si>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</si>
  <si>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</si>
  <si>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</si>
  <si>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</si>
  <si>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</si>
  <si>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</si>
  <si>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</si>
  <si>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</si>
  <si>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</si>
  <si>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</si>
  <si>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</si>
  <si>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</si>
  <si>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</si>
  <si>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</si>
  <si>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</si>
  <si>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</si>
  <si>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</si>
  <si>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</si>
  <si>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</si>
  <si>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</si>
  <si>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</si>
  <si>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</si>
  <si>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</si>
  <si>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</si>
  <si>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</si>
  <si>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</si>
  <si>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</si>
  <si>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</si>
  <si>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</si>
  <si>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</si>
  <si>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</si>
  <si>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</si>
  <si>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</si>
  <si>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</si>
  <si>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</si>
  <si>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</si>
  <si>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</si>
  <si>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</si>
  <si>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</si>
  <si>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</si>
  <si>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</si>
  <si>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</si>
  <si>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</si>
  <si>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</si>
  <si>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</si>
  <si>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</si>
  <si>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</si>
  <si>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</si>
  <si>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</si>
  <si>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</si>
  <si>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</si>
  <si>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</si>
  <si>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</si>
  <si>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</si>
  <si>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</si>
  <si>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</si>
  <si>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</si>
  <si>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</si>
  <si>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</si>
  <si>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</si>
  <si>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</si>
  <si>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</si>
  <si>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</si>
  <si>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</si>
  <si>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</si>
  <si>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</si>
  <si>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</si>
  <si>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</si>
  <si>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</si>
  <si>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</si>
  <si>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</si>
  <si>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</si>
  <si>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</si>
  <si>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</si>
  <si>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</si>
  <si>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</si>
  <si>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</si>
  <si>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</si>
  <si>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</si>
  <si>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</si>
  <si>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</si>
  <si>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</si>
  <si>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</si>
  <si>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</si>
  <si>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</si>
  <si>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</si>
  <si>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</si>
  <si>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</si>
  <si>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</si>
  <si>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</si>
  <si>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</si>
  <si>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</si>
  <si>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</si>
  <si>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</si>
  <si>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</si>
  <si>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</si>
  <si>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</si>
  <si>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</si>
  <si>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</si>
  <si>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</si>
  <si>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</si>
  <si>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</si>
  <si>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</si>
  <si>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</si>
  <si>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</si>
  <si>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</si>
  <si>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</si>
  <si>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</si>
  <si>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</si>
  <si>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</si>
  <si>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</si>
  <si>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</si>
  <si>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</si>
  <si>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</si>
  <si>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</si>
  <si>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</si>
  <si>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</si>
  <si>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</si>
  <si>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</si>
  <si>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</si>
  <si>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</si>
  <si>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</si>
  <si>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</si>
  <si>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</si>
  <si>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</si>
  <si>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</si>
  <si>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</si>
  <si>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</si>
  <si>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</si>
  <si>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</si>
  <si>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</si>
  <si>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</si>
  <si>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</si>
  <si>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</si>
  <si>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</si>
  <si>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</si>
  <si>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</si>
  <si>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</si>
  <si>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</si>
  <si>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</si>
  <si>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</si>
  <si>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</si>
  <si>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</si>
  <si>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</si>
  <si>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</si>
  <si>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</si>
  <si>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</si>
  <si>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</si>
  <si>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</si>
  <si>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</si>
  <si>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</si>
  <si>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</si>
  <si>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</si>
  <si>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</si>
  <si>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</si>
  <si>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</si>
  <si>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</si>
  <si>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</si>
  <si>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</si>
  <si>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</si>
  <si>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</si>
  <si>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</si>
  <si>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</si>
  <si>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</si>
  <si>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</si>
  <si>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</si>
  <si>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</si>
  <si>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</si>
  <si>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</si>
  <si>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</si>
  <si>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</si>
  <si>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</si>
  <si>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</si>
  <si>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</si>
  <si>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</si>
  <si>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</si>
  <si>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</si>
  <si>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</si>
  <si>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</si>
  <si>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</si>
  <si>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</si>
  <si>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</si>
  <si>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</si>
  <si>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</si>
  <si>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</si>
  <si>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</si>
  <si>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</si>
  <si>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</si>
  <si>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</si>
  <si>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</si>
  <si>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</si>
  <si>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</si>
  <si>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</si>
  <si>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</si>
  <si>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</si>
  <si>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</si>
  <si>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</si>
  <si>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</si>
  <si>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</si>
  <si>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</si>
  <si>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</si>
  <si>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</si>
  <si>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</si>
  <si>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</si>
  <si>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</si>
  <si>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</si>
  <si>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</si>
  <si>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</si>
  <si>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</si>
  <si>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</si>
  <si>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</si>
  <si>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</si>
  <si>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</si>
  <si>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</si>
  <si>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</si>
  <si>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</si>
  <si>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</si>
  <si>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</si>
  <si>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</si>
  <si>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</si>
  <si>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</si>
  <si>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</si>
  <si>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</si>
  <si>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</si>
  <si>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</si>
  <si>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</si>
  <si>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</si>
  <si>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</si>
  <si>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</si>
  <si>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</si>
  <si>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</si>
  <si>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</si>
  <si>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</si>
  <si>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</si>
  <si>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</si>
  <si>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</si>
  <si>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</si>
  <si>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</si>
  <si>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</si>
  <si>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</si>
  <si>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</si>
  <si>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</si>
  <si>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</si>
  <si>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</si>
  <si>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</si>
  <si>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</si>
  <si>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</si>
  <si>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</si>
  <si>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</si>
  <si>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</si>
  <si>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</si>
  <si>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</si>
  <si>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</si>
  <si>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</si>
  <si>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</si>
  <si>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</si>
  <si>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</si>
  <si>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</si>
  <si>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</si>
  <si>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</si>
  <si>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</si>
  <si>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</si>
  <si>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</si>
  <si>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</si>
  <si>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</si>
  <si>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</si>
  <si>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</si>
  <si>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</si>
  <si>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</si>
  <si>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</si>
  <si>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</si>
  <si>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</si>
  <si>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</si>
  <si>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</si>
  <si>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</si>
  <si>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</si>
  <si>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</si>
  <si>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</si>
  <si>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</si>
  <si>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</si>
  <si>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</si>
  <si>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</si>
  <si>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</si>
  <si>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</si>
  <si>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</si>
  <si>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</si>
  <si>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</si>
  <si>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</si>
  <si>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</si>
  <si>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</si>
  <si>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</si>
  <si>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</si>
  <si>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</si>
  <si>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</si>
  <si>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</si>
  <si>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</si>
  <si>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</si>
  <si>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</si>
  <si>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</si>
  <si>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</si>
  <si>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</si>
  <si>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</si>
  <si>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</si>
  <si>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</si>
  <si>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</si>
  <si>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</si>
  <si>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</si>
  <si>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</si>
  <si>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</si>
  <si>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</si>
  <si>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</si>
  <si>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</si>
  <si>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</si>
  <si>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</si>
  <si>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</si>
  <si>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</si>
  <si>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</si>
  <si>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</si>
  <si>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</si>
  <si>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</si>
  <si>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</si>
  <si>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</si>
  <si>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</si>
  <si>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</si>
  <si>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</si>
  <si>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</si>
  <si>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</si>
  <si>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</si>
  <si>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</si>
  <si>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</si>
  <si>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</si>
  <si>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</si>
  <si>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</si>
  <si>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</si>
  <si>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</si>
  <si>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</si>
  <si>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</si>
  <si>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</si>
  <si>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</si>
  <si>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</si>
  <si>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</si>
  <si>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</si>
  <si>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</si>
  <si>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</si>
  <si>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</si>
  <si>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</si>
  <si>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</si>
  <si>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</si>
  <si>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</si>
  <si>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</si>
  <si>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</si>
  <si>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</si>
  <si>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</si>
  <si>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</si>
  <si>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</si>
  <si>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</si>
  <si>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</si>
  <si>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</si>
  <si>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</si>
  <si>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</si>
  <si>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</si>
  <si>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</si>
  <si>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</si>
  <si>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</si>
  <si>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</si>
  <si>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</si>
  <si>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</si>
  <si>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</si>
  <si>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</si>
  <si>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</si>
  <si>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</si>
  <si>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</si>
  <si>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</si>
  <si>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</si>
  <si>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</si>
  <si>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</si>
  <si>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</si>
  <si>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</si>
  <si>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</si>
  <si>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</si>
  <si>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</si>
  <si>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</si>
  <si>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</si>
  <si>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</si>
  <si>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</si>
  <si>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</si>
  <si>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</si>
  <si>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</si>
  <si>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</si>
  <si>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</si>
  <si>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</si>
  <si>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</si>
  <si>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</si>
  <si>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</si>
  <si>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</si>
  <si>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</si>
  <si>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</si>
  <si>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</si>
  <si>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</si>
  <si>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</si>
  <si>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</si>
  <si>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</si>
  <si>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</si>
  <si>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</si>
  <si>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</si>
  <si>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</si>
  <si>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</si>
  <si>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</si>
  <si>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</si>
  <si>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</si>
  <si>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</si>
  <si>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</si>
  <si>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</si>
  <si>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</si>
  <si>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</si>
  <si>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</si>
  <si>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</si>
  <si>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</si>
  <si>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</si>
  <si>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</si>
  <si>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</si>
  <si>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</si>
  <si>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</si>
  <si>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</si>
  <si>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</si>
  <si>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</si>
  <si>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</si>
  <si>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</si>
  <si>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</si>
  <si>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</si>
  <si>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</si>
  <si>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</si>
  <si>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</si>
  <si>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</si>
  <si>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</si>
  <si>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</si>
  <si>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</si>
  <si>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</si>
  <si>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</si>
  <si>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</si>
  <si>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</si>
  <si>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</si>
  <si>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</si>
  <si>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</si>
  <si>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</si>
  <si>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</si>
  <si>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</si>
  <si>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</si>
  <si>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</si>
  <si>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</si>
  <si>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</si>
  <si>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</si>
  <si>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</si>
  <si>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</si>
  <si>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</si>
  <si>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</si>
  <si>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</si>
  <si>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</si>
  <si>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</si>
  <si>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</si>
  <si>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</si>
  <si>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</si>
  <si>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</si>
  <si>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</si>
  <si>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</si>
  <si>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</si>
  <si>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</si>
  <si>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</si>
  <si>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</si>
  <si>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</si>
  <si>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</si>
  <si>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</si>
  <si>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</si>
  <si>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</si>
  <si>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</si>
  <si>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</si>
  <si>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</si>
  <si>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</si>
  <si>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</si>
  <si>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</si>
  <si>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</si>
  <si>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</si>
  <si>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</si>
  <si>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</si>
  <si>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</si>
  <si>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</si>
  <si>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</si>
  <si>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</si>
  <si>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</si>
  <si>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</si>
  <si>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</si>
  <si>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</si>
  <si>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</si>
  <si>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</si>
  <si>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</si>
  <si>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</si>
  <si>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</si>
  <si>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</si>
  <si>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</si>
  <si>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</si>
  <si>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</si>
  <si>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</si>
  <si>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</si>
  <si>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</si>
  <si>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</si>
  <si>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</si>
  <si>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</si>
  <si>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</si>
  <si>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</si>
  <si>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</si>
  <si>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</si>
  <si>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</si>
  <si>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</si>
  <si>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</si>
  <si>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</si>
  <si>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</si>
  <si>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</si>
  <si>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</si>
  <si>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</si>
  <si>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</si>
  <si>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</si>
  <si>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</si>
  <si>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</si>
  <si>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</si>
  <si>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</si>
  <si>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</si>
  <si>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</si>
  <si>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</si>
  <si>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</si>
  <si>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</si>
  <si>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</si>
  <si>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</si>
  <si>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</si>
  <si>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</si>
  <si>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</si>
  <si>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</si>
  <si>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</si>
  <si>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</si>
  <si>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</si>
  <si>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</si>
  <si>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</si>
  <si>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</si>
  <si>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</si>
  <si>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</si>
  <si>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</si>
  <si>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</si>
  <si>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</si>
  <si>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</si>
  <si>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</si>
  <si>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</si>
  <si>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</si>
  <si>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</si>
  <si>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</si>
  <si>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</si>
  <si>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</si>
  <si>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</si>
  <si>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</si>
  <si>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</si>
  <si>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</si>
  <si>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</si>
  <si>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</si>
  <si>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</si>
  <si>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</si>
  <si>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</si>
  <si>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</si>
  <si>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</si>
  <si>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</si>
  <si>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</si>
  <si>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</si>
  <si>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</si>
  <si>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</si>
  <si>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</si>
  <si>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</si>
  <si>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</si>
  <si>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</si>
  <si>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</si>
  <si>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</si>
  <si>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</si>
  <si>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</si>
  <si>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</si>
  <si>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</si>
  <si>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</si>
  <si>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</si>
  <si>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</si>
  <si>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</si>
  <si>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</si>
  <si>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</si>
  <si>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</si>
  <si>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</si>
  <si>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</si>
  <si>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</si>
  <si>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</si>
  <si>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</si>
  <si>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</si>
  <si>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</si>
  <si>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</si>
  <si>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</si>
  <si>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</si>
  <si>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</si>
  <si>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</si>
  <si>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</si>
  <si>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</si>
  <si>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</si>
  <si>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</si>
  <si>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</si>
  <si>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</si>
  <si>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</si>
  <si>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</si>
  <si>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</si>
  <si>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</si>
  <si>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</si>
  <si>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</si>
  <si>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</si>
  <si>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</si>
  <si>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</si>
  <si>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</si>
  <si>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</si>
  <si>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</si>
  <si>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</si>
  <si>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</si>
  <si>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</si>
  <si>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</si>
  <si>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</si>
  <si>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</si>
  <si>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</si>
  <si>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</si>
  <si>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</si>
  <si>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</si>
  <si>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</si>
  <si>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</si>
  <si>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</si>
  <si>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</si>
  <si>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</si>
  <si>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</si>
  <si>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</si>
  <si>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</si>
  <si>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</si>
  <si>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</si>
  <si>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</si>
  <si>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</si>
  <si>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</si>
  <si>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</si>
  <si>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</si>
  <si>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</si>
  <si>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</si>
  <si>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</si>
  <si>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</si>
  <si>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</si>
  <si>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</si>
  <si>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</si>
  <si>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</si>
  <si>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</si>
  <si>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</si>
  <si>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</si>
  <si>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</si>
  <si>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</si>
  <si>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</si>
  <si>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</si>
  <si>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</si>
  <si>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</si>
  <si>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</si>
  <si>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</si>
  <si>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</si>
  <si>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</si>
  <si>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</si>
  <si>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</si>
  <si>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</si>
  <si>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</si>
  <si>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</si>
  <si>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</si>
  <si>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</si>
  <si>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</si>
  <si>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</si>
  <si>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</si>
  <si>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</si>
  <si>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</si>
  <si>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</si>
  <si>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</si>
  <si>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</si>
  <si>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</si>
  <si>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</si>
  <si>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</si>
  <si>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</si>
  <si>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</si>
  <si>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</si>
  <si>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</si>
  <si>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</si>
  <si>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</si>
  <si>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</si>
  <si>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</si>
  <si>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</si>
  <si>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</si>
  <si>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</si>
  <si>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</si>
  <si>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</si>
  <si>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</si>
  <si>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</si>
  <si>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</si>
  <si>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</si>
  <si>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</si>
  <si>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</si>
  <si>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</si>
  <si>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</si>
  <si>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</si>
  <si>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</si>
  <si>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</si>
  <si>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</si>
  <si>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</si>
  <si>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</si>
  <si>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</si>
  <si>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</si>
  <si>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</si>
  <si>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</si>
  <si>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</si>
  <si>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</si>
  <si>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</si>
  <si>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</si>
  <si>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</si>
  <si>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</si>
  <si>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</si>
  <si>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</si>
  <si>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</si>
  <si>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</si>
  <si>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</si>
  <si>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</si>
  <si>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</si>
  <si>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</si>
  <si>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</si>
  <si>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</si>
  <si>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</si>
  <si>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</si>
  <si>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</si>
  <si>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</si>
  <si>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</si>
  <si>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</si>
  <si>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</si>
  <si>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</si>
  <si>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</si>
  <si>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</si>
  <si>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</si>
  <si>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</si>
  <si>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</si>
  <si>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</si>
  <si>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</si>
  <si>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</si>
  <si>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</si>
  <si>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</si>
  <si>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</si>
  <si>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</si>
  <si>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</si>
  <si>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</si>
  <si>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</si>
  <si>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</si>
  <si>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</si>
  <si>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</si>
  <si>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</si>
  <si>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</si>
  <si>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</si>
  <si>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</si>
  <si>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</si>
  <si>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</si>
  <si>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</si>
  <si>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</si>
  <si>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</si>
  <si>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</si>
  <si>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</si>
  <si>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</si>
  <si>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</si>
  <si>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</si>
  <si>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</si>
  <si>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</si>
  <si>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</si>
  <si>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</si>
  <si>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</si>
  <si>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</si>
  <si>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</si>
  <si>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</si>
  <si>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</si>
  <si>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</si>
  <si>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</si>
  <si>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</si>
  <si>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</si>
  <si>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</si>
  <si>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</si>
  <si>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</si>
  <si>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</si>
  <si>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</si>
  <si>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</si>
  <si>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</si>
  <si>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</si>
  <si>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</si>
  <si>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</si>
  <si>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</si>
  <si>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</si>
  <si>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</si>
  <si>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</si>
  <si>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</si>
  <si>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</si>
  <si>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</si>
  <si>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</si>
  <si>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</si>
  <si>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</si>
  <si>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</si>
  <si>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</si>
  <si>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</si>
  <si>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</si>
  <si>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</si>
  <si>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</si>
  <si>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</si>
  <si>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</si>
  <si>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</si>
  <si>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</si>
  <si>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</si>
  <si>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</si>
  <si>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</si>
  <si>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</si>
  <si>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</si>
  <si>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</si>
  <si>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</si>
  <si>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</si>
  <si>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</si>
  <si>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</si>
  <si>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</si>
  <si>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</si>
  <si>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</si>
  <si>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</si>
  <si>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</si>
  <si>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</si>
  <si>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</si>
  <si>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</si>
  <si>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</si>
  <si>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</si>
  <si>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</si>
  <si>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</si>
  <si>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</si>
  <si>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</si>
  <si>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</si>
  <si>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</si>
  <si>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</si>
  <si>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</si>
  <si>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</si>
  <si>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</si>
  <si>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</si>
  <si>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</si>
  <si>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</si>
  <si>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</si>
  <si>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</si>
  <si>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</si>
  <si>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</si>
  <si>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</si>
  <si>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</si>
  <si>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</si>
  <si>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</si>
  <si>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</si>
  <si>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</si>
  <si>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</si>
  <si>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</si>
  <si>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</si>
  <si>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</si>
  <si>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</si>
  <si>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</si>
  <si>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</si>
  <si>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</si>
  <si>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</si>
  <si>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</si>
  <si>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</si>
  <si>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</si>
  <si>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</si>
  <si>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</si>
  <si>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</si>
  <si>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</si>
  <si>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</si>
  <si>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</si>
  <si>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</si>
  <si>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</si>
  <si>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</si>
  <si>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</si>
  <si>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</si>
  <si>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</si>
  <si>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</si>
  <si>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</si>
  <si>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</si>
  <si>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</si>
  <si>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</si>
  <si>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</si>
  <si>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</si>
  <si>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</si>
  <si>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</si>
  <si>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</si>
  <si>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</si>
  <si>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</si>
  <si>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</si>
  <si>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</si>
  <si>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</si>
  <si>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</si>
  <si>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</si>
  <si>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</si>
  <si>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</si>
  <si>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</si>
  <si>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</si>
  <si>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</si>
  <si>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</si>
  <si>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</si>
  <si>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</si>
  <si>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</si>
  <si>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</si>
  <si>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</si>
  <si>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</si>
  <si>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</si>
  <si>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</si>
  <si>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</si>
  <si>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</si>
  <si>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</si>
  <si>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</si>
  <si>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</si>
  <si>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</si>
  <si>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</si>
  <si>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</si>
  <si>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</si>
  <si>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</si>
  <si>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</si>
  <si>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</si>
  <si>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</si>
  <si>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</si>
  <si>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</si>
  <si>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</si>
  <si>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</si>
  <si>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</si>
  <si>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</si>
  <si>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</si>
  <si>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</si>
  <si>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</si>
  <si>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</si>
  <si>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</si>
  <si>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</si>
  <si>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</si>
  <si>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</si>
  <si>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</si>
  <si>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</si>
  <si>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</si>
  <si>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</si>
  <si>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</si>
  <si>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</si>
  <si>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</si>
  <si>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</si>
  <si>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</si>
  <si>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</si>
  <si>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</si>
  <si>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</si>
  <si>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</si>
  <si>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</si>
  <si>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</si>
  <si>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</si>
  <si>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</si>
  <si>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</si>
  <si>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</si>
  <si>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</si>
  <si>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</si>
  <si>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</si>
  <si>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</si>
  <si>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</si>
  <si>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</si>
  <si>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</si>
  <si>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</si>
  <si>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</si>
  <si>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</si>
  <si>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</si>
  <si>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</si>
  <si>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</si>
  <si>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</si>
  <si>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</si>
  <si>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</si>
  <si>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</si>
  <si>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</si>
  <si>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</si>
  <si>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</si>
  <si>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</si>
  <si>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</si>
  <si>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</si>
  <si>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</si>
  <si>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</si>
  <si>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</si>
  <si>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</si>
  <si>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</si>
  <si>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</si>
  <si>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</si>
  <si>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</si>
  <si>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</si>
  <si>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</si>
  <si>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</si>
  <si>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</si>
  <si>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</si>
  <si>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</si>
  <si>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</si>
  <si>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</si>
  <si>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</si>
  <si>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</si>
  <si>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</si>
  <si>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</si>
  <si>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</si>
  <si>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</si>
  <si>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</si>
  <si>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</si>
  <si>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</si>
  <si>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</si>
  <si>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</si>
  <si>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</si>
  <si>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</si>
  <si>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</si>
  <si>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</si>
  <si>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</si>
  <si>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</si>
  <si>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</si>
  <si>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</si>
  <si>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</si>
  <si>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</si>
  <si>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</si>
  <si>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</si>
  <si>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</si>
  <si>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</si>
  <si>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</si>
  <si>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</si>
  <si>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</si>
  <si>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</si>
  <si>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</si>
  <si>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</si>
  <si>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</si>
  <si>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</si>
  <si>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</si>
  <si>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</si>
  <si>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</si>
  <si>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</si>
  <si>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</si>
  <si>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</si>
  <si>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</si>
  <si>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</si>
  <si>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</si>
  <si>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</si>
  <si>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</si>
  <si>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</si>
  <si>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</si>
  <si>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</si>
  <si>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</si>
  <si>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</si>
  <si>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</si>
  <si>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</si>
  <si>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</si>
  <si>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</si>
  <si>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</si>
  <si>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</si>
  <si>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</si>
  <si>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</si>
  <si>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</si>
  <si>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</si>
  <si>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</si>
  <si>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</si>
  <si>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</si>
  <si>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</si>
  <si>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</si>
  <si>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</si>
  <si>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</si>
  <si>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</si>
  <si>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</si>
  <si>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</si>
  <si>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</si>
  <si>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</si>
  <si>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</si>
  <si>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</si>
  <si>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</si>
  <si>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</si>
  <si>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</si>
  <si>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</si>
  <si>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</si>
  <si>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</si>
  <si>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</si>
  <si>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</si>
  <si>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</si>
  <si>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</si>
  <si>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</si>
  <si>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</si>
  <si>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</si>
  <si>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</si>
  <si>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</si>
  <si>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</si>
  <si>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</si>
  <si>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</si>
  <si>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</si>
  <si>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</si>
  <si>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</si>
  <si>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</si>
  <si>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</si>
  <si>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</si>
  <si>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</si>
  <si>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</si>
  <si>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</si>
  <si>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</si>
  <si>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</si>
  <si>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</si>
  <si>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</si>
  <si>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</si>
  <si>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</si>
  <si>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</si>
  <si>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</si>
  <si>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</si>
  <si>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</si>
  <si>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</si>
  <si>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</si>
  <si>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</si>
  <si>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</si>
  <si>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</si>
  <si>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</si>
  <si>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</si>
  <si>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</si>
  <si>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</si>
  <si>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</si>
  <si>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</si>
  <si>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</si>
  <si>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</si>
  <si>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</si>
  <si>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</si>
  <si>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</si>
  <si>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</si>
  <si>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</si>
  <si>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</si>
  <si>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</si>
  <si>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</si>
  <si>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</si>
  <si>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</si>
  <si>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</si>
  <si>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</si>
  <si>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</si>
  <si>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</si>
  <si>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</si>
  <si>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</si>
  <si>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</si>
  <si>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</si>
  <si>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</si>
  <si>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</si>
  <si>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</si>
  <si>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</si>
  <si>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</si>
  <si>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</si>
  <si>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</si>
  <si>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</si>
  <si>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</si>
  <si>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</si>
  <si>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</si>
  <si>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</si>
  <si>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</si>
  <si>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</si>
  <si>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</si>
  <si>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</si>
  <si>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</si>
  <si>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</si>
  <si>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</si>
  <si>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</si>
  <si>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</si>
  <si>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</si>
  <si>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</si>
  <si>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</si>
  <si>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</si>
  <si>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</si>
  <si>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</si>
  <si>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</si>
  <si>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</si>
  <si>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</si>
  <si>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</si>
  <si>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</si>
  <si>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</si>
  <si>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</si>
  <si>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</si>
  <si>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</si>
  <si>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</si>
  <si>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</si>
  <si>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</si>
  <si>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</si>
  <si>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</si>
  <si>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</si>
  <si>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</si>
  <si>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</si>
  <si>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</si>
  <si>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</si>
  <si>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</si>
  <si>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</si>
  <si>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</si>
  <si>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</si>
  <si>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</si>
  <si>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</si>
  <si>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</si>
  <si>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</si>
  <si>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</si>
  <si>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</si>
  <si>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</si>
  <si>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</si>
  <si>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</si>
  <si>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</si>
  <si>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</si>
  <si>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</si>
  <si>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</si>
  <si>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</si>
  <si>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</si>
  <si>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</si>
  <si>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</si>
  <si>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</si>
  <si>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</si>
  <si>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</si>
  <si>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</si>
  <si>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</si>
  <si>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</si>
  <si>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</si>
  <si>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</si>
  <si>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</si>
  <si>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</si>
  <si>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</si>
  <si>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</si>
  <si>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</si>
  <si>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</si>
  <si>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</si>
  <si>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</si>
  <si>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</si>
  <si>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</si>
  <si>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</si>
  <si>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</si>
  <si>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</si>
  <si>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</si>
  <si>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</si>
  <si>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</si>
  <si>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</si>
  <si>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</si>
  <si>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</si>
  <si>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</si>
  <si>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</si>
  <si>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</si>
  <si>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</si>
  <si>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</si>
  <si>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</si>
  <si>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</si>
  <si>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</si>
  <si>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</si>
  <si>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</si>
  <si>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</si>
  <si>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</si>
  <si>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</si>
  <si>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</si>
  <si>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</si>
  <si>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</si>
  <si>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</si>
  <si>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</si>
  <si>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</si>
  <si>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</si>
  <si>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</si>
  <si>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</si>
  <si>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</si>
  <si>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</si>
  <si>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</si>
  <si>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</si>
  <si>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</si>
  <si>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</si>
  <si>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</si>
  <si>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</si>
  <si>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</si>
  <si>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</si>
  <si>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</si>
  <si>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</si>
  <si>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</si>
  <si>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</si>
  <si>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</si>
  <si>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</si>
  <si>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</si>
  <si>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</si>
  <si>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</si>
  <si>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</si>
  <si>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</si>
  <si>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</si>
  <si>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</si>
  <si>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</si>
  <si>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</si>
  <si>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</si>
  <si>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</si>
  <si>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</si>
  <si>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</si>
  <si>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</si>
  <si>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</si>
  <si>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</si>
  <si>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</si>
  <si>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</si>
  <si>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</si>
  <si>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</si>
  <si>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</si>
  <si>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</si>
  <si>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</si>
  <si>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</si>
  <si>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</si>
  <si>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</si>
  <si>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</si>
  <si>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</si>
  <si>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</si>
  <si>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</si>
  <si>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</si>
  <si>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</si>
  <si>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</si>
  <si>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</si>
  <si>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</si>
  <si>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</si>
  <si>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</si>
  <si>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</si>
  <si>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</si>
  <si>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</si>
  <si>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</si>
  <si>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</si>
  <si>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</si>
  <si>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</si>
  <si>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</si>
  <si>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</si>
  <si>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</si>
  <si>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</si>
  <si>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</si>
  <si>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</si>
  <si>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</si>
  <si>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</si>
  <si>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</si>
  <si>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</si>
  <si>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</si>
  <si>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</si>
  <si>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</si>
  <si>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</si>
  <si>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</si>
  <si>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</si>
  <si>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</si>
  <si>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</si>
  <si>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</si>
  <si>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</si>
  <si>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</si>
  <si>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</si>
  <si>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</si>
  <si>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</si>
  <si>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</si>
  <si>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</si>
  <si>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</si>
  <si>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</si>
  <si>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</si>
  <si>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</si>
  <si>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</si>
  <si>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</si>
  <si>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</si>
  <si>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</si>
  <si>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</si>
  <si>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</si>
  <si>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</si>
  <si>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</si>
  <si>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</si>
  <si>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</si>
  <si>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</si>
  <si>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</si>
  <si>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</si>
  <si>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</si>
  <si>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</si>
  <si>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</si>
  <si>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</si>
  <si>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</si>
  <si>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</si>
  <si>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</si>
  <si>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</si>
  <si>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</si>
  <si>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</si>
  <si>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</si>
  <si>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</si>
  <si>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</si>
  <si>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</si>
  <si>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</si>
  <si>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</si>
  <si>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</si>
  <si>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</si>
  <si>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</si>
  <si>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</si>
  <si>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</si>
  <si>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</si>
  <si>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</si>
  <si>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</si>
  <si>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</si>
  <si>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</si>
  <si>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</si>
  <si>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</si>
  <si>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</si>
  <si>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</si>
  <si>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</si>
  <si>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</si>
  <si>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</si>
  <si>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</si>
  <si>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</si>
  <si>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</si>
  <si>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</si>
  <si>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</si>
  <si>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</si>
  <si>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</si>
  <si>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</si>
  <si>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</si>
  <si>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</si>
  <si>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</si>
  <si>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</si>
  <si>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</si>
  <si>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</si>
  <si>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</si>
  <si>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</si>
  <si>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</si>
  <si>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</si>
  <si>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</si>
  <si>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</si>
  <si>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</si>
  <si>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</si>
  <si>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</si>
  <si>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</si>
  <si>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</si>
  <si>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</si>
  <si>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</si>
  <si>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</si>
  <si>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</si>
  <si>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</si>
  <si>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</si>
  <si>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</si>
  <si>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</si>
  <si>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</si>
  <si>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</si>
  <si>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</si>
  <si>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</si>
  <si>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</si>
  <si>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</si>
  <si>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</si>
  <si>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</si>
  <si>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</si>
  <si>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</si>
  <si>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</si>
  <si>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</si>
  <si>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</si>
  <si>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</si>
  <si>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</si>
  <si>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</si>
  <si>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</si>
  <si>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</si>
  <si>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</si>
  <si>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</si>
  <si>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</si>
  <si>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</si>
  <si>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</si>
  <si>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</si>
  <si>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</si>
  <si>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</si>
  <si>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</si>
  <si>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</si>
  <si>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</si>
  <si>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</si>
  <si>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</si>
  <si>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</si>
  <si>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</si>
  <si>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</si>
  <si>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</si>
  <si>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</si>
  <si>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</si>
  <si>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</si>
  <si>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</si>
  <si>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</si>
  <si>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</si>
  <si>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</si>
  <si>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</si>
  <si>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</si>
  <si>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</si>
  <si>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</si>
  <si>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</si>
  <si>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</si>
  <si>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</si>
  <si>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</si>
  <si>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</si>
  <si>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</si>
  <si>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</si>
  <si>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</si>
  <si>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</si>
  <si>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</si>
  <si>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</si>
  <si>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</si>
  <si>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</si>
  <si>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</si>
  <si>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</si>
  <si>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</si>
  <si>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</si>
  <si>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</si>
  <si>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</si>
  <si>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</si>
  <si>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</si>
  <si>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</si>
  <si>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</si>
  <si>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</si>
  <si>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</si>
  <si>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</si>
  <si>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</si>
  <si>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</si>
  <si>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</si>
  <si>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</si>
  <si>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</si>
  <si>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</si>
  <si>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</si>
  <si>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</si>
  <si>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</si>
  <si>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</si>
  <si>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</si>
  <si>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</si>
  <si>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</si>
  <si>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</si>
  <si>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</si>
  <si>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</si>
  <si>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</si>
  <si>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</si>
  <si>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</si>
  <si>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</si>
  <si>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</si>
  <si>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</si>
  <si>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</si>
  <si>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</si>
  <si>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</si>
  <si>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</si>
  <si>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</si>
  <si>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</si>
  <si>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</si>
  <si>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</si>
  <si>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</si>
  <si>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</si>
  <si>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</si>
  <si>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</si>
  <si>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</si>
  <si>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</si>
  <si>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</si>
  <si>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</si>
  <si>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</si>
  <si>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</si>
  <si>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</si>
  <si>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</si>
  <si>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</si>
  <si>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</si>
  <si>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</si>
  <si>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</si>
  <si>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</si>
  <si>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</si>
  <si>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</si>
  <si>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</si>
  <si>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</si>
  <si>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</si>
  <si>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</si>
  <si>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</si>
  <si>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</si>
  <si>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</si>
  <si>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</si>
  <si>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</si>
  <si>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</si>
  <si>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</si>
  <si>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</si>
  <si>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</si>
  <si>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</si>
  <si>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</si>
  <si>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</si>
  <si>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</si>
  <si>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</si>
  <si>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</si>
  <si>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</si>
  <si>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</si>
  <si>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</si>
  <si>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</si>
  <si>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</si>
  <si>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</si>
  <si>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</si>
  <si>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</si>
  <si>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</si>
  <si>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</si>
  <si>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</si>
  <si>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</si>
  <si>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</si>
  <si>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</si>
  <si>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</si>
  <si>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</si>
  <si>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</si>
  <si>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</si>
  <si>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</si>
  <si>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</si>
  <si>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</si>
  <si>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</si>
  <si>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</si>
  <si>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</si>
  <si>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</si>
  <si>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</si>
  <si>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</si>
  <si>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</si>
  <si>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</si>
  <si>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</si>
  <si>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</si>
  <si>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</si>
  <si>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</si>
  <si>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</si>
  <si>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</si>
  <si>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</si>
  <si>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</si>
  <si>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</si>
  <si>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</si>
  <si>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</si>
  <si>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</si>
  <si>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</si>
  <si>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</si>
  <si>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</si>
  <si>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</si>
  <si>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</si>
  <si>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</si>
  <si>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</si>
  <si>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</si>
  <si>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</si>
  <si>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</si>
  <si>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</si>
  <si>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</si>
  <si>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</si>
  <si>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</si>
  <si>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</si>
  <si>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</si>
  <si>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</si>
  <si>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</si>
  <si>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</si>
  <si>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</si>
  <si>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</si>
  <si>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</si>
  <si>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</si>
  <si>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</si>
  <si>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</si>
  <si>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</si>
  <si>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</si>
  <si>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</si>
  <si>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</si>
  <si>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</si>
  <si>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</si>
  <si>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</si>
  <si>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</si>
  <si>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</si>
  <si>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</si>
  <si>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</si>
  <si>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</si>
  <si>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</si>
  <si>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</si>
  <si>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</si>
  <si>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</si>
  <si>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</si>
  <si>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</si>
  <si>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</si>
  <si>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</si>
  <si>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</si>
  <si>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</si>
  <si>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</si>
  <si>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</si>
  <si>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</si>
  <si>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</si>
  <si>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</si>
  <si>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</si>
  <si>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</si>
  <si>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</si>
  <si>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</si>
  <si>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</si>
  <si>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</si>
  <si>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</si>
  <si>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</si>
  <si>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</si>
  <si>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</si>
  <si>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</si>
  <si>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</si>
  <si>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</si>
  <si>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</si>
  <si>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</si>
  <si>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</si>
  <si>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</si>
  <si>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</si>
  <si>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</si>
  <si>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</si>
  <si>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</si>
  <si>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</si>
  <si>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</si>
  <si>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</si>
  <si>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</si>
  <si>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</si>
  <si>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</si>
  <si>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</si>
  <si>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</si>
  <si>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</si>
  <si>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</si>
  <si>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</si>
  <si>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</si>
  <si>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</si>
  <si>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</si>
  <si>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</si>
  <si>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</si>
  <si>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</si>
  <si>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</si>
  <si>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</si>
  <si>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</si>
  <si>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</si>
  <si>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</si>
  <si>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</si>
  <si>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</si>
  <si>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</si>
  <si>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</si>
  <si>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</si>
  <si>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</si>
  <si>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</si>
  <si>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</si>
  <si>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</si>
  <si>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</si>
  <si>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</si>
  <si>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</si>
  <si>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</si>
  <si>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</si>
  <si>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</si>
  <si>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</si>
  <si>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</si>
  <si>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</si>
  <si>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</si>
  <si>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</si>
  <si>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</si>
  <si>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</si>
  <si>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</si>
  <si>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</si>
  <si>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</si>
  <si>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</si>
  <si>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</si>
  <si>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</si>
  <si>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</si>
  <si>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</si>
  <si>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</si>
  <si>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</si>
  <si>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</si>
  <si>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</si>
  <si>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</si>
  <si>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</si>
  <si>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</si>
  <si>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</si>
  <si>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</si>
  <si>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</si>
  <si>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</si>
  <si>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</si>
  <si>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</si>
  <si>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</si>
  <si>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</si>
  <si>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</si>
  <si>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</si>
  <si>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</si>
  <si>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</si>
  <si>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</si>
  <si>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</si>
  <si>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</si>
  <si>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</si>
  <si>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</si>
  <si>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</si>
  <si>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</si>
  <si>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</si>
  <si>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</si>
  <si>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</si>
  <si>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</si>
  <si>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</si>
  <si>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</si>
  <si>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</si>
  <si>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</si>
  <si>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</si>
  <si>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</si>
  <si>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</si>
  <si>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</si>
  <si>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</si>
  <si>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</si>
  <si>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</si>
  <si>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</si>
  <si>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</si>
  <si>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</si>
  <si>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</si>
  <si>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</si>
  <si>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</si>
  <si>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</si>
  <si>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</si>
  <si>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</si>
  <si>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</si>
  <si>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</si>
  <si>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</si>
  <si>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</si>
  <si>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</si>
  <si>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</si>
  <si>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</si>
  <si>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</si>
  <si>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</si>
  <si>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</si>
  <si>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</si>
  <si>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</si>
  <si>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</si>
  <si>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</si>
  <si>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</si>
  <si>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</si>
  <si>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</si>
  <si>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</si>
  <si>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</si>
  <si>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</si>
  <si>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</si>
  <si>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</si>
  <si>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</si>
  <si>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</si>
  <si>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</si>
  <si>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</si>
  <si>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</si>
  <si>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</si>
  <si>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</si>
  <si>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</si>
  <si>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</si>
  <si>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</si>
  <si>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</si>
  <si>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</si>
  <si>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</si>
  <si>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</si>
  <si>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</si>
  <si>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</si>
  <si>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</si>
  <si>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</si>
  <si>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</si>
  <si>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</si>
  <si>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</si>
  <si>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</si>
  <si>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</si>
  <si>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</si>
  <si>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</si>
  <si>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</si>
  <si>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</si>
  <si>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</si>
  <si>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</si>
  <si>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</si>
  <si>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</si>
  <si>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</si>
  <si>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</si>
  <si>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</si>
  <si>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</si>
  <si>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</si>
  <si>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</si>
  <si>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</si>
  <si>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</si>
  <si>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</si>
  <si>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</si>
  <si>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</si>
  <si>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</si>
  <si>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</si>
  <si>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</si>
  <si>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</si>
  <si>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</si>
  <si>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</si>
  <si>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</si>
  <si>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</si>
  <si>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</si>
  <si>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</si>
  <si>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</si>
  <si>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</si>
  <si>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</si>
  <si>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</si>
  <si>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</si>
  <si>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</si>
  <si>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</si>
  <si>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</si>
  <si>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</si>
  <si>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</si>
  <si>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</si>
  <si>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</si>
  <si>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</si>
  <si>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</si>
  <si>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</si>
  <si>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</si>
  <si>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</si>
  <si>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</si>
  <si>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</si>
  <si>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</si>
  <si>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</si>
  <si>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</si>
  <si>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</si>
  <si>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</si>
  <si>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</si>
  <si>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</si>
  <si>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</si>
  <si>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</si>
  <si>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</si>
  <si>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</si>
  <si>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</si>
  <si>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</si>
  <si>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</si>
  <si>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</si>
  <si>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</si>
  <si>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</si>
  <si>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</si>
  <si>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</si>
  <si>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</si>
  <si>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</si>
  <si>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</si>
  <si>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</si>
  <si>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</si>
  <si>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</si>
  <si>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</si>
  <si>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</si>
  <si>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</si>
  <si>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</si>
  <si>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</si>
  <si>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</si>
  <si>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</si>
  <si>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</si>
  <si>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</si>
  <si>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</si>
  <si>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</si>
  <si>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</si>
  <si>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</si>
  <si>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</si>
  <si>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</si>
  <si>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</si>
  <si>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</si>
  <si>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</si>
  <si>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</si>
  <si>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</si>
  <si>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</si>
  <si>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</si>
  <si>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</si>
  <si>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</si>
  <si>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</si>
  <si>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</si>
  <si>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</si>
  <si>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</si>
  <si>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</si>
  <si>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</si>
  <si>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</si>
  <si>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</si>
  <si>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</si>
  <si>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</si>
  <si>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</si>
  <si>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</si>
  <si>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</si>
  <si>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</si>
  <si>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</si>
  <si>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</si>
  <si>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</si>
  <si>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</si>
  <si>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</si>
  <si>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</si>
  <si>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</si>
  <si>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</si>
  <si>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</si>
  <si>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</si>
  <si>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</si>
  <si>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</si>
  <si>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</si>
  <si>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</si>
  <si>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</si>
  <si>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</si>
  <si>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</si>
  <si>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</si>
  <si>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</si>
  <si>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</si>
  <si>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</si>
  <si>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</si>
  <si>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</si>
  <si>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</si>
  <si>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</si>
  <si>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</si>
  <si>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</si>
  <si>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</si>
  <si>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</si>
  <si>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</si>
  <si>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</si>
  <si>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</si>
  <si>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</si>
  <si>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</si>
  <si>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</si>
  <si>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</si>
  <si>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</si>
  <si>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</si>
  <si>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</si>
  <si>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</si>
  <si>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</si>
  <si>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</si>
  <si>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</si>
  <si>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</si>
  <si>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</si>
  <si>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</si>
  <si>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</si>
  <si>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</si>
  <si>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</si>
  <si>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</si>
  <si>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</si>
  <si>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</si>
  <si>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</si>
  <si>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</si>
  <si>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</si>
  <si>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</si>
  <si>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</si>
  <si>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</si>
  <si>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</si>
  <si>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</si>
  <si>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</si>
  <si>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</si>
  <si>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</si>
  <si>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</si>
  <si>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</si>
  <si>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</si>
  <si>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</si>
  <si>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</si>
  <si>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</si>
  <si>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</si>
  <si>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</si>
  <si>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</si>
  <si>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</si>
  <si>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</si>
  <si>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</si>
  <si>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</si>
  <si>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</si>
  <si>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</si>
  <si>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</si>
  <si>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</si>
  <si>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</si>
  <si>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</si>
  <si>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</si>
  <si>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</si>
  <si>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</si>
  <si>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</si>
  <si>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</si>
  <si>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</si>
  <si>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</si>
  <si>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</si>
  <si>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</si>
  <si>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</si>
  <si>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</si>
  <si>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</si>
  <si>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</si>
  <si>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</si>
  <si>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</si>
  <si>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</si>
  <si>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</si>
  <si>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</si>
  <si>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</si>
  <si>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</si>
  <si>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</si>
  <si>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</si>
  <si>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</si>
  <si>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</si>
  <si>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</si>
  <si>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</si>
  <si>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</si>
  <si>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</si>
  <si>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</si>
  <si>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</si>
  <si>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</si>
  <si>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</si>
  <si>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</si>
  <si>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</si>
  <si>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</si>
  <si>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</si>
  <si>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</si>
  <si>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</si>
  <si>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</si>
  <si>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</si>
  <si>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</si>
  <si>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</si>
  <si>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</si>
  <si>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</si>
  <si>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</si>
  <si>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</si>
  <si>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</si>
  <si>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</si>
  <si>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</si>
  <si>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</si>
  <si>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</si>
  <si>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</si>
  <si>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</si>
  <si>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</si>
  <si>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</si>
  <si>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</si>
  <si>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</si>
  <si>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</si>
  <si>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</si>
  <si>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</si>
  <si>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</si>
  <si>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</si>
  <si>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</si>
  <si>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</si>
  <si>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</si>
  <si>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</si>
  <si>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</si>
  <si>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</si>
  <si>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</si>
  <si>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</si>
  <si>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</si>
  <si>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</si>
  <si>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</si>
  <si>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</si>
  <si>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</si>
  <si>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</si>
  <si>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</si>
  <si>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</si>
  <si>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</si>
  <si>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</si>
  <si>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</si>
  <si>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</si>
  <si>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</si>
  <si>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</si>
  <si>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</si>
  <si>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</si>
  <si>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</si>
  <si>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</si>
  <si>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</si>
  <si>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</si>
  <si>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</si>
  <si>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</si>
  <si>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</si>
  <si>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</si>
  <si>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</si>
  <si>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</si>
  <si>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</si>
  <si>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</si>
  <si>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</si>
  <si>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</si>
  <si>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</si>
  <si>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</si>
  <si>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</si>
  <si>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</si>
  <si>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</si>
  <si>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</si>
  <si>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</si>
  <si>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</si>
  <si>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</si>
  <si>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</si>
  <si>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</si>
  <si>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</si>
  <si>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</si>
  <si>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</si>
  <si>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</si>
  <si>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</si>
  <si>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</si>
  <si>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</si>
  <si>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</si>
  <si>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</si>
  <si>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</si>
  <si>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</si>
  <si>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</si>
  <si>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</si>
  <si>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</si>
  <si>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</si>
  <si>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</si>
  <si>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</si>
  <si>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</si>
  <si>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</si>
  <si>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</si>
  <si>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</si>
  <si>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</si>
  <si>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</si>
  <si>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</si>
  <si>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</si>
  <si>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</si>
  <si>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</si>
  <si>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</si>
  <si>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</si>
  <si>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</si>
  <si>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</si>
  <si>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</si>
  <si>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</si>
  <si>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</si>
  <si>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</si>
  <si>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</si>
  <si>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</si>
  <si>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</si>
  <si>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</si>
  <si>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</si>
  <si>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</si>
  <si>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</si>
  <si>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</si>
  <si>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</si>
  <si>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</si>
  <si>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</si>
  <si>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</si>
  <si>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</si>
  <si>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</si>
  <si>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</si>
  <si>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</si>
  <si>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</si>
  <si>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</si>
  <si>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</si>
  <si>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</si>
  <si>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</si>
  <si>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</si>
  <si>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</si>
  <si>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</si>
  <si>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</si>
  <si>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</si>
  <si>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</si>
  <si>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</si>
  <si>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</si>
  <si>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</si>
  <si>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</si>
  <si>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</si>
  <si>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</si>
  <si>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</si>
  <si>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</si>
  <si>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</si>
  <si>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</si>
  <si>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</si>
  <si>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</si>
  <si>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</si>
  <si>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</si>
  <si>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</si>
  <si>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</si>
  <si>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</si>
  <si>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</si>
  <si>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</si>
  <si>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</si>
  <si>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</si>
  <si>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</si>
  <si>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</si>
  <si>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</si>
  <si>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</si>
  <si>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</si>
  <si>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</si>
  <si>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</si>
  <si>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</si>
  <si>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</si>
  <si>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</si>
  <si>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</si>
  <si>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</si>
  <si>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</si>
  <si>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</si>
  <si>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</si>
  <si>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</si>
  <si>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</si>
  <si>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</si>
  <si>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</si>
  <si>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</si>
  <si>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</si>
  <si>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</si>
  <si>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</si>
  <si>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</si>
  <si>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</si>
  <si>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</si>
  <si>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</si>
  <si>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</si>
  <si>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</si>
  <si>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</si>
  <si>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</si>
  <si>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</si>
  <si>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</si>
  <si>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</si>
  <si>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</si>
  <si>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</si>
  <si>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</si>
  <si>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</si>
  <si>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</si>
  <si>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</si>
  <si>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</si>
  <si>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</si>
  <si>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</si>
  <si>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</si>
  <si>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</si>
  <si>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</si>
  <si>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</si>
  <si>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</si>
  <si>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</si>
  <si>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</si>
  <si>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</si>
  <si>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</si>
  <si>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</si>
  <si>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</si>
  <si>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</si>
  <si>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</si>
  <si>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</si>
  <si>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</si>
  <si>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</si>
  <si>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</si>
  <si>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</si>
  <si>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</si>
  <si>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</si>
  <si>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</si>
  <si>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</si>
  <si>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</si>
  <si>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</si>
  <si>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</si>
  <si>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</si>
  <si>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</si>
  <si>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</si>
  <si>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</si>
  <si>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</si>
  <si>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</si>
  <si>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</si>
  <si>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</si>
  <si>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</si>
  <si>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</si>
  <si>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</si>
  <si>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</si>
  <si>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</si>
  <si>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</si>
  <si>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</si>
  <si>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</si>
  <si>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</si>
  <si>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</si>
  <si>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</si>
  <si>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</si>
  <si>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</si>
  <si>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</si>
  <si>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</si>
  <si>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</si>
  <si>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</si>
  <si>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</si>
  <si>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</si>
  <si>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</si>
  <si>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</si>
  <si>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</si>
  <si>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</si>
  <si>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</si>
  <si>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</si>
  <si>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</si>
  <si>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</si>
  <si>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</si>
  <si>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</si>
  <si>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</si>
  <si>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</si>
  <si>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</si>
  <si>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</si>
  <si>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</si>
  <si>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</si>
  <si>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</si>
  <si>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</si>
  <si>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</si>
  <si>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</si>
  <si>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</si>
  <si>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</si>
  <si>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</si>
  <si>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</si>
  <si>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</si>
  <si>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</si>
  <si>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</si>
  <si>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</si>
  <si>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</si>
  <si>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</si>
  <si>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</si>
  <si>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</si>
  <si>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</si>
  <si>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</si>
  <si>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</si>
  <si>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</si>
  <si>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</si>
  <si>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</si>
  <si>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</si>
  <si>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</si>
  <si>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</si>
  <si>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</si>
  <si>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</si>
  <si>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</si>
  <si>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</si>
  <si>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</si>
  <si>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</si>
  <si>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</si>
  <si>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</si>
  <si>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</si>
  <si>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</si>
  <si>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</si>
  <si>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</si>
  <si>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</si>
  <si>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</si>
  <si>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</si>
  <si>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</si>
  <si>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</si>
  <si>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</si>
  <si>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</si>
  <si>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</si>
  <si>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</si>
  <si>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</si>
  <si>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</si>
  <si>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</si>
  <si>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</si>
  <si>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</si>
  <si>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</si>
  <si>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</si>
  <si>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</si>
  <si>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</si>
  <si>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</si>
  <si>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</si>
  <si>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</si>
  <si>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</si>
  <si>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</si>
  <si>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</si>
  <si>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</si>
  <si>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</si>
  <si>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</si>
  <si>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</si>
  <si>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</si>
  <si>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</si>
  <si>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</si>
  <si>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</si>
  <si>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</si>
  <si>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</si>
  <si>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</si>
  <si>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</si>
  <si>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</si>
  <si>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</si>
  <si>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</si>
  <si>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</si>
  <si>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</si>
  <si>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</si>
  <si>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</si>
  <si>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</si>
  <si>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</si>
  <si>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</si>
  <si>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</si>
  <si>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</si>
  <si>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</si>
  <si>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</si>
  <si>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</si>
  <si>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</si>
  <si>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</si>
  <si>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</si>
  <si>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</si>
  <si>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</si>
  <si>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</si>
  <si>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</si>
  <si>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</si>
  <si>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</si>
  <si>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</si>
  <si>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</si>
  <si>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</si>
  <si>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</si>
  <si>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</si>
  <si>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</si>
  <si>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</si>
  <si>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</si>
  <si>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</si>
  <si>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</si>
  <si>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</si>
  <si>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</si>
  <si>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</si>
  <si>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</si>
  <si>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</si>
  <si>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</si>
  <si>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</si>
  <si>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</si>
  <si>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</si>
  <si>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</si>
  <si>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</si>
  <si>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</si>
  <si>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</si>
  <si>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</si>
  <si>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</si>
  <si>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</si>
  <si>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</si>
  <si>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</si>
  <si>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</si>
  <si>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</si>
  <si>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</si>
  <si>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</si>
  <si>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</si>
  <si>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</si>
  <si>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</si>
  <si>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</si>
  <si>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</si>
  <si>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</si>
  <si>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</si>
  <si>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</si>
  <si>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</si>
  <si>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</si>
  <si>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</si>
  <si>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</si>
  <si>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</si>
  <si>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</si>
  <si>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</si>
  <si>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</si>
  <si>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</si>
  <si>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</si>
  <si>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</si>
  <si>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</si>
  <si>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</si>
  <si>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</si>
  <si>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</si>
  <si>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</si>
  <si>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</si>
  <si>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</si>
  <si>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</si>
  <si>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</si>
  <si>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</si>
  <si>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</si>
  <si>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</si>
  <si>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</si>
  <si>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</si>
  <si>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</si>
  <si>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</si>
  <si>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</si>
  <si>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</si>
  <si>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</si>
  <si>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</si>
  <si>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</si>
  <si>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</si>
  <si>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</si>
  <si>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</si>
  <si>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</si>
  <si>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</si>
  <si>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</si>
  <si>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</si>
  <si>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</si>
  <si>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</si>
  <si>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</si>
  <si>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</si>
  <si>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</si>
  <si>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</si>
  <si>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</si>
  <si>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</si>
  <si>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</si>
  <si>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</si>
  <si>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</si>
  <si>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</si>
  <si>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</si>
  <si>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</si>
  <si>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</si>
  <si>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</si>
  <si>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</si>
  <si>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</si>
  <si>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</si>
  <si>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</si>
  <si>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</si>
  <si>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</si>
  <si>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</si>
  <si>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</si>
  <si>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</si>
  <si>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</si>
  <si>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</si>
  <si>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</si>
  <si>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</si>
  <si>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</si>
  <si>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</si>
  <si>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</si>
  <si>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</si>
  <si>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</si>
  <si>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</si>
  <si>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</si>
  <si>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</si>
  <si>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</si>
  <si>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</si>
  <si>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</si>
  <si>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</si>
  <si>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</si>
  <si>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</si>
  <si>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</si>
  <si>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</si>
  <si>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</si>
  <si>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</si>
  <si>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</si>
  <si>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</si>
  <si>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</si>
  <si>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</si>
  <si>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</si>
  <si>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</si>
  <si>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</si>
  <si>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</si>
  <si>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</si>
  <si>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</si>
  <si>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</si>
  <si>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</si>
  <si>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</si>
  <si>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</si>
  <si>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</si>
  <si>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</si>
  <si>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</si>
  <si>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</si>
  <si>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</si>
  <si>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</si>
  <si>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</si>
  <si>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</si>
  <si>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</si>
  <si>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</si>
  <si>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</si>
  <si>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</si>
  <si>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</si>
  <si>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</si>
  <si>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</si>
  <si>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</si>
  <si>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</si>
  <si>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</si>
  <si>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</si>
  <si>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</si>
  <si>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</si>
  <si>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</si>
  <si>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</si>
  <si>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</si>
  <si>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</si>
  <si>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</si>
  <si>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</si>
  <si>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</si>
  <si>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</si>
  <si>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</si>
  <si>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</si>
  <si>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</si>
  <si>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</si>
  <si>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</si>
  <si>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</si>
  <si>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</si>
  <si>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</si>
  <si>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</si>
  <si>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</si>
  <si>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</si>
  <si>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</si>
  <si>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</si>
  <si>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</si>
  <si>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</si>
  <si>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</si>
  <si>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</si>
  <si>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</si>
  <si>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</si>
  <si>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</si>
  <si>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</si>
  <si>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</si>
  <si>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</si>
  <si>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</si>
  <si>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</si>
  <si>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</si>
  <si>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</si>
  <si>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</si>
  <si>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</si>
  <si>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</si>
  <si>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</si>
  <si>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</si>
  <si>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</si>
  <si>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</si>
  <si>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</si>
  <si>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</si>
  <si>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</si>
  <si>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</si>
  <si>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</si>
  <si>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</si>
  <si>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</si>
  <si>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</si>
  <si>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</si>
  <si>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</si>
  <si>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</si>
  <si>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</si>
  <si>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</si>
  <si>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</si>
  <si>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</si>
  <si>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</si>
  <si>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</si>
  <si>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</si>
  <si>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</si>
  <si>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</si>
  <si>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</si>
  <si>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</si>
  <si>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</si>
  <si>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</si>
  <si>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</si>
  <si>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</si>
  <si>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</si>
  <si>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</si>
  <si>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</si>
  <si>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</si>
  <si>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</si>
  <si>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</si>
  <si>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</si>
  <si>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</si>
  <si>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</si>
  <si>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</si>
  <si>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</si>
  <si>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</si>
  <si>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</si>
  <si>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</si>
  <si>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</si>
  <si>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</si>
  <si>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</si>
  <si>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</si>
  <si>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</si>
  <si>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</si>
  <si>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</si>
  <si>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</si>
  <si>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</si>
  <si>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</si>
  <si>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</si>
  <si>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</si>
  <si>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</si>
  <si>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</si>
  <si>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</si>
  <si>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</si>
  <si>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</si>
  <si>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</si>
  <si>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</si>
  <si>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</si>
  <si>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</si>
  <si>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</si>
  <si>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</si>
  <si>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</si>
  <si>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</si>
  <si>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</si>
  <si>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</si>
  <si>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</si>
  <si>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</si>
  <si>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</si>
  <si>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</si>
  <si>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</si>
  <si>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</si>
  <si>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</si>
  <si>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</si>
  <si>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</si>
  <si>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</si>
  <si>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</si>
  <si>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</si>
  <si>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</si>
  <si>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</si>
  <si>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</si>
  <si>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</si>
  <si>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</si>
  <si>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</si>
  <si>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</si>
  <si>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</si>
  <si>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</si>
  <si>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</si>
  <si>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</si>
  <si>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</si>
  <si>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</si>
  <si>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</si>
  <si>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</si>
  <si>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</si>
  <si>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</si>
  <si>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</si>
  <si>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</si>
  <si>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</si>
  <si>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</si>
  <si>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</si>
  <si>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</si>
  <si>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</si>
  <si>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</si>
  <si>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</si>
  <si>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</si>
  <si>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</si>
  <si>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</si>
  <si>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</si>
  <si>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</si>
  <si>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</si>
  <si>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</si>
  <si>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</si>
  <si>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</si>
  <si>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</si>
  <si>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</si>
  <si>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</si>
  <si>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</si>
  <si>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</si>
  <si>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</si>
  <si>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</si>
  <si>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</si>
  <si>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</si>
  <si>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</si>
  <si>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</si>
  <si>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</si>
  <si>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</si>
  <si>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</si>
  <si>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</si>
  <si>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</si>
  <si>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</si>
  <si>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</si>
  <si>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</si>
  <si>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</si>
  <si>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</si>
  <si>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</si>
  <si>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</si>
  <si>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</si>
  <si>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</si>
  <si>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</si>
  <si>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</si>
  <si>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</si>
  <si>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</si>
  <si>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</si>
  <si>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</si>
  <si>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</si>
  <si>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</si>
  <si>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</si>
  <si>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</si>
  <si>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</si>
  <si>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</si>
  <si>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</si>
  <si>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</si>
  <si>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</si>
  <si>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</si>
  <si>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</si>
  <si>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</si>
  <si>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</si>
  <si>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</si>
  <si>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</si>
  <si>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</si>
  <si>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</si>
  <si>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</si>
  <si>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</si>
  <si>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</si>
  <si>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</si>
  <si>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</si>
  <si>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</si>
  <si>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</si>
  <si>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</si>
  <si>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</si>
  <si>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</si>
  <si>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</si>
  <si>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</si>
  <si>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</si>
  <si>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</si>
  <si>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</si>
  <si>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</si>
  <si>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</si>
  <si>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</si>
  <si>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</si>
  <si>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</si>
  <si>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</si>
  <si>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</si>
  <si>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</si>
  <si>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</si>
  <si>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</si>
  <si>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</si>
  <si>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</si>
  <si>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</si>
  <si>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</si>
  <si>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</si>
  <si>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</si>
  <si>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</si>
  <si>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</si>
  <si>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</si>
  <si>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</si>
  <si>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</si>
  <si>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</si>
  <si>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</si>
  <si>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</si>
  <si>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</si>
  <si>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</si>
  <si>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</si>
  <si>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</si>
  <si>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</si>
  <si>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</si>
  <si>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</si>
  <si>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</si>
  <si>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</si>
  <si>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</si>
  <si>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</si>
  <si>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</si>
  <si>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</si>
  <si>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</si>
  <si>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</si>
  <si>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</si>
  <si>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</si>
  <si>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</si>
  <si>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</si>
  <si>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</si>
  <si>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</si>
  <si>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</si>
  <si>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</si>
  <si>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</si>
  <si>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</si>
  <si>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</si>
  <si>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</si>
  <si>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</si>
  <si>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</si>
  <si>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</si>
  <si>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</si>
  <si>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</si>
  <si>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</si>
  <si>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</si>
  <si>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</si>
  <si>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</si>
  <si>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</si>
  <si>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</si>
  <si>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</si>
  <si>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</si>
  <si>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</si>
  <si>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</si>
  <si>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</si>
  <si>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</si>
  <si>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</si>
  <si>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</si>
  <si>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</si>
  <si>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</si>
  <si>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</si>
  <si>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</si>
  <si>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</si>
  <si>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</si>
  <si>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</si>
  <si>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</si>
  <si>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</si>
  <si>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</si>
  <si>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</si>
  <si>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</si>
  <si>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</si>
  <si>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</si>
  <si>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</si>
  <si>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</si>
  <si>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</si>
  <si>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</si>
  <si>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</si>
  <si>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</si>
  <si>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</si>
  <si>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</si>
  <si>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</si>
  <si>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</si>
  <si>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</si>
  <si>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</si>
  <si>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</si>
  <si>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</si>
  <si>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</si>
  <si>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</si>
  <si>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</si>
  <si>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</si>
  <si>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</si>
  <si>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</si>
  <si>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</si>
  <si>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</si>
  <si>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</si>
  <si>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</si>
  <si>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</si>
  <si>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</si>
  <si>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</si>
  <si>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</si>
  <si>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</si>
  <si>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</si>
  <si>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</si>
  <si>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</si>
  <si>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</si>
  <si>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</si>
  <si>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</si>
  <si>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</si>
  <si>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</si>
  <si>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</si>
  <si>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</si>
  <si>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</si>
  <si>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</si>
  <si>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</si>
  <si>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</si>
  <si>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</si>
  <si>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</si>
  <si>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</si>
  <si>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</si>
  <si>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</si>
  <si>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</si>
  <si>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</si>
  <si>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</si>
  <si>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</si>
  <si>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</si>
  <si>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</si>
  <si>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</si>
  <si>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</si>
  <si>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</si>
  <si>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</si>
  <si>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</si>
  <si>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</si>
  <si>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</si>
  <si>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</si>
  <si>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</si>
  <si>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</si>
  <si>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</si>
  <si>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</si>
  <si>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</si>
  <si>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</si>
  <si>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</si>
  <si>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</si>
  <si>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</si>
  <si>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</si>
  <si>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</si>
  <si>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</si>
  <si>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</si>
  <si>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</si>
  <si>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</si>
  <si>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</si>
  <si>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</si>
  <si>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</si>
  <si>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</si>
  <si>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</si>
  <si>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</si>
  <si>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</si>
  <si>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</si>
  <si>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</si>
  <si>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</si>
  <si>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</si>
  <si>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</si>
  <si>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</si>
  <si>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</si>
  <si>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</si>
  <si>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</si>
  <si>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</si>
  <si>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</si>
  <si>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</si>
  <si>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</si>
  <si>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</si>
  <si>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</si>
  <si>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</si>
  <si>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</si>
  <si>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</si>
  <si>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</si>
  <si>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</si>
  <si>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</si>
  <si>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</si>
  <si>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</si>
  <si>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</si>
  <si>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</si>
  <si>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</si>
  <si>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</si>
  <si>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</si>
  <si>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</si>
  <si>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</si>
  <si>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</si>
  <si>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</si>
  <si>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</si>
  <si>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</si>
  <si>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</si>
  <si>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</si>
  <si>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</si>
  <si>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</si>
  <si>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</si>
  <si>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</si>
  <si>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</si>
  <si>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</si>
  <si>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</si>
  <si>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</si>
  <si>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</si>
  <si>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</si>
  <si>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</si>
  <si>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</si>
  <si>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</si>
  <si>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</si>
  <si>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</si>
  <si>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</si>
  <si>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</si>
  <si>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</si>
  <si>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</si>
  <si>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</si>
  <si>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</si>
  <si>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</si>
  <si>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</si>
  <si>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</si>
  <si>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</si>
  <si>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</si>
  <si>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</si>
  <si>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</si>
  <si>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</si>
  <si>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</si>
  <si>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</si>
  <si>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</si>
  <si>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</si>
  <si>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</si>
  <si>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</si>
  <si>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</si>
  <si>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</si>
  <si>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</si>
  <si>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</si>
  <si>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</si>
  <si>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</si>
  <si>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</si>
  <si>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</si>
  <si>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</si>
  <si>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</si>
  <si>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</si>
  <si>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</si>
  <si>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</si>
  <si>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</si>
  <si>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</si>
  <si>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</si>
  <si>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</si>
  <si>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</si>
  <si>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</si>
  <si>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</si>
  <si>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</si>
  <si>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</si>
  <si>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</si>
  <si>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</si>
  <si>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</si>
  <si>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</si>
  <si>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</si>
  <si>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</si>
  <si>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</si>
  <si>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</si>
  <si>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</si>
  <si>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</si>
  <si>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</si>
  <si>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</si>
  <si>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</si>
  <si>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</si>
  <si>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</si>
  <si>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</si>
  <si>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</si>
  <si>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</si>
  <si>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</si>
  <si>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</si>
  <si>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</si>
  <si>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</si>
  <si>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</si>
  <si>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</si>
  <si>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</si>
  <si>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</si>
  <si>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</si>
  <si>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</si>
  <si>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</si>
  <si>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</si>
  <si>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</si>
  <si>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</si>
  <si>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</si>
  <si>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</si>
  <si>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</si>
  <si>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</si>
  <si>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</si>
  <si>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</si>
  <si>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</si>
  <si>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</si>
  <si>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</si>
  <si>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</si>
  <si>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</si>
  <si>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</si>
  <si>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</si>
  <si>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</si>
  <si>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</si>
  <si>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</si>
  <si>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</si>
  <si>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</si>
  <si>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</si>
  <si>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</si>
  <si>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</si>
  <si>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</si>
  <si>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</si>
  <si>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</si>
  <si>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</si>
  <si>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</si>
  <si>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</si>
  <si>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</si>
  <si>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</si>
  <si>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</si>
  <si>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</si>
  <si>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</si>
  <si>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</si>
  <si>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</si>
  <si>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</si>
  <si>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</si>
  <si>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</si>
  <si>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</si>
  <si>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</si>
  <si>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</si>
  <si>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</si>
  <si>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</si>
  <si>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</si>
  <si>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</si>
  <si>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</si>
  <si>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</si>
  <si>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</si>
  <si>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</si>
  <si>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</si>
  <si>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</si>
  <si>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</si>
  <si>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</si>
  <si>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</si>
  <si>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</si>
  <si>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</si>
  <si>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</si>
  <si>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</si>
  <si>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</si>
  <si>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</si>
  <si>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</si>
  <si>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</si>
  <si>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</si>
  <si>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</si>
  <si>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</si>
  <si>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</si>
  <si>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</si>
  <si>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</si>
  <si>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</si>
  <si>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</si>
  <si>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</si>
  <si>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</si>
  <si>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</si>
  <si>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</si>
  <si>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</si>
  <si>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</si>
  <si>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</si>
  <si>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</si>
  <si>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</si>
  <si>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</si>
  <si>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</si>
  <si>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</si>
  <si>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</si>
  <si>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</si>
  <si>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</si>
  <si>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</si>
  <si>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</si>
  <si>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</si>
  <si>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</si>
  <si>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</si>
  <si>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</si>
  <si>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</si>
  <si>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</si>
  <si>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</si>
  <si>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</si>
  <si>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</si>
  <si>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</si>
  <si>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</si>
  <si>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</si>
  <si>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</si>
  <si>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</si>
  <si>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</si>
  <si>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</si>
  <si>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</si>
  <si>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</si>
  <si>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</si>
  <si>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</si>
  <si>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</si>
  <si>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</si>
  <si>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</si>
  <si>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</si>
  <si>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</si>
  <si>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</si>
  <si>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</si>
  <si>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</si>
  <si>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</si>
  <si>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</si>
  <si>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</si>
  <si>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</si>
  <si>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</si>
  <si>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</si>
  <si>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</si>
  <si>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</si>
  <si>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</si>
  <si>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</si>
  <si>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</si>
  <si>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</si>
  <si>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</si>
  <si>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</si>
  <si>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</si>
  <si>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</si>
  <si>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</si>
  <si>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</si>
  <si>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</si>
  <si>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</si>
  <si>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</si>
  <si>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</si>
  <si>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</si>
  <si>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</si>
  <si>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</si>
  <si>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</si>
  <si>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</si>
  <si>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</si>
  <si>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</si>
  <si>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</si>
  <si>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</si>
  <si>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</si>
  <si>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</si>
  <si>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</si>
  <si>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</si>
  <si>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</si>
  <si>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</si>
  <si>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</si>
  <si>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</si>
  <si>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</si>
  <si>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</si>
  <si>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</si>
  <si>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</si>
  <si>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</si>
  <si>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</si>
  <si>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</si>
  <si>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</si>
  <si>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</si>
  <si>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</si>
  <si>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</si>
  <si>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</si>
  <si>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</si>
  <si>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</si>
  <si>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</si>
  <si>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</si>
  <si>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</si>
  <si>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</si>
  <si>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</si>
  <si>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</si>
  <si>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</si>
  <si>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</si>
  <si>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</si>
  <si>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</si>
  <si>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</si>
  <si>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</si>
  <si>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</si>
  <si>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</si>
  <si>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</si>
  <si>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</si>
  <si>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</si>
  <si>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</si>
  <si>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</si>
  <si>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</si>
  <si>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</si>
  <si>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</si>
  <si>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</si>
  <si>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</si>
  <si>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</si>
  <si>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</si>
  <si>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</si>
  <si>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</si>
  <si>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</si>
  <si>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</si>
  <si>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</si>
  <si>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</si>
  <si>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</si>
  <si>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</si>
  <si>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</si>
  <si>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</si>
  <si>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</si>
  <si>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</si>
  <si>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</si>
  <si>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</si>
  <si>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</si>
  <si>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</si>
  <si>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</si>
  <si>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</si>
  <si>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</si>
  <si>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</si>
  <si>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</si>
  <si>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</si>
  <si>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</si>
  <si>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</si>
  <si>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</si>
  <si>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</si>
  <si>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</si>
  <si>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</si>
  <si>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</si>
  <si>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</si>
  <si>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</si>
  <si>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</si>
  <si>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</si>
  <si>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</si>
  <si>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</si>
  <si>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</si>
  <si>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</si>
  <si>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</si>
  <si>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</si>
  <si>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</si>
  <si>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</si>
  <si>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</si>
  <si>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</si>
  <si>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</si>
  <si>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</si>
  <si>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</si>
  <si>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</si>
  <si>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</si>
  <si>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</si>
  <si>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</si>
  <si>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</si>
  <si>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</si>
  <si>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</si>
  <si>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</si>
  <si>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</si>
  <si>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</si>
  <si>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</si>
  <si>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</si>
  <si>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</si>
  <si>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</si>
  <si>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</si>
  <si>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</si>
  <si>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</si>
  <si>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</si>
  <si>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</si>
  <si>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</si>
  <si>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</si>
  <si>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</si>
  <si>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</si>
  <si>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</si>
  <si>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</si>
  <si>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</si>
  <si>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</si>
  <si>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</si>
  <si>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</si>
  <si>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</si>
  <si>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</si>
  <si>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</si>
  <si>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</si>
  <si>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</si>
  <si>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</si>
  <si>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</si>
  <si>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</si>
  <si>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</si>
  <si>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</si>
  <si>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</si>
  <si>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</si>
  <si>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</si>
  <si>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</si>
  <si>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</si>
  <si>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</si>
  <si>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</si>
  <si>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</si>
  <si>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</si>
  <si>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</si>
  <si>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</si>
  <si>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</si>
  <si>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</si>
  <si>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</si>
  <si>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</si>
  <si>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</si>
  <si>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</si>
  <si>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</si>
  <si>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</si>
  <si>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</si>
  <si>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</si>
  <si>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</si>
  <si>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</si>
  <si>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</si>
  <si>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</si>
  <si>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</si>
  <si>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</si>
  <si>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</si>
  <si>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</si>
  <si>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</si>
  <si>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</si>
  <si>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</si>
  <si>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</si>
  <si>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</si>
  <si>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</si>
  <si>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</si>
  <si>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</si>
  <si>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</si>
  <si>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</si>
  <si>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</si>
  <si>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</si>
  <si>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</si>
  <si>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</si>
  <si>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</si>
  <si>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</si>
  <si>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</si>
  <si>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</si>
  <si>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</si>
  <si>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</si>
  <si>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</si>
  <si>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</si>
  <si>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</si>
  <si>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</si>
  <si>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</si>
  <si>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</si>
  <si>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</si>
  <si>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</si>
  <si>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</si>
  <si>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</si>
  <si>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</si>
  <si>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</si>
  <si>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</si>
  <si>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</si>
  <si>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</si>
  <si>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</si>
  <si>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</si>
  <si>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</si>
  <si>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</si>
  <si>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</si>
  <si>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</si>
  <si>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</si>
  <si>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</si>
  <si>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</si>
  <si>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</si>
  <si>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</si>
  <si>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</si>
  <si>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</si>
  <si>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</si>
  <si>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</si>
  <si>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</si>
  <si>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</si>
  <si>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</si>
  <si>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</si>
  <si>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</si>
  <si>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</si>
  <si>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</si>
  <si>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</si>
  <si>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</si>
  <si>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</si>
  <si>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</si>
  <si>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</si>
  <si>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</si>
  <si>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</si>
  <si>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</si>
  <si>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</si>
  <si>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</si>
  <si>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</si>
  <si>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</si>
  <si>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</si>
  <si>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</si>
  <si>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</si>
  <si>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</si>
  <si>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</si>
  <si>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</si>
  <si>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</si>
  <si>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</si>
  <si>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</si>
  <si>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</si>
  <si>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</si>
  <si>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</si>
  <si>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</si>
  <si>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</si>
  <si>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</si>
  <si>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</si>
  <si>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</si>
  <si>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</si>
  <si>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</si>
  <si>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</si>
  <si>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</si>
  <si>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</si>
  <si>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</si>
  <si>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</si>
  <si>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</si>
  <si>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</si>
  <si>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</si>
  <si>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</si>
  <si>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</si>
  <si>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</si>
  <si>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</si>
  <si>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</si>
  <si>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</si>
  <si>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</si>
  <si>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</si>
  <si>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</si>
  <si>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</si>
  <si>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</si>
  <si>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</si>
  <si>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</si>
  <si>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</si>
  <si>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</si>
  <si>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</si>
  <si>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</si>
  <si>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</si>
  <si>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</si>
  <si>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</si>
  <si>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</si>
  <si>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</si>
  <si>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</si>
  <si>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</si>
  <si>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</si>
  <si>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</si>
  <si>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</si>
  <si>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</si>
  <si>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</si>
  <si>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</si>
  <si>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</si>
  <si>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</si>
  <si>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</si>
  <si>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</si>
  <si>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</si>
  <si>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</si>
  <si>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</si>
  <si>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</si>
  <si>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</si>
  <si>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</si>
  <si>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</si>
  <si>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</si>
  <si>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</si>
  <si>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</si>
  <si>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</si>
  <si>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</si>
  <si>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</si>
  <si>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</si>
  <si>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</si>
  <si>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</si>
  <si>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</si>
  <si>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</si>
  <si>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</si>
  <si>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</si>
  <si>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</si>
  <si>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</si>
  <si>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</si>
  <si>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</si>
  <si>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</si>
  <si>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</si>
  <si>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</si>
  <si>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</si>
  <si>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</si>
  <si>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</si>
  <si>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</si>
  <si>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</si>
  <si>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</si>
  <si>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</si>
  <si>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</si>
  <si>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</si>
  <si>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</si>
  <si>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</si>
  <si>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</si>
  <si>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</si>
  <si>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</si>
  <si>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</si>
  <si>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</si>
  <si>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</si>
  <si>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</si>
  <si>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</si>
  <si>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</si>
  <si>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</si>
  <si>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</si>
  <si>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</si>
  <si>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</si>
  <si>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</si>
  <si>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</si>
  <si>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</si>
  <si>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</si>
  <si>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</si>
  <si>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</si>
  <si>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</si>
  <si>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</si>
  <si>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</si>
  <si>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</si>
  <si>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</si>
  <si>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</si>
  <si>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</si>
  <si>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</si>
  <si>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</si>
  <si>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</si>
  <si>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</si>
  <si>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</si>
  <si>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</si>
  <si>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</si>
  <si>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</si>
  <si>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</si>
  <si>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</si>
  <si>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</si>
  <si>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</si>
  <si>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</si>
  <si>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</si>
  <si>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</si>
  <si>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</si>
  <si>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</si>
  <si>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</si>
  <si>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</si>
  <si>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</si>
  <si>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</si>
  <si>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</si>
  <si>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</si>
  <si>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</si>
  <si>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</si>
  <si>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</si>
  <si>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</si>
  <si>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</si>
  <si>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</si>
  <si>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</si>
  <si>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</si>
  <si>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</si>
  <si>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</si>
  <si>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</si>
  <si>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</si>
  <si>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</si>
  <si>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</si>
  <si>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</si>
  <si>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</si>
  <si>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</si>
  <si>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</si>
  <si>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</si>
  <si>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</si>
  <si>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</si>
  <si>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</si>
  <si>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</si>
  <si>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</si>
  <si>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</si>
  <si>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</si>
  <si>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</si>
  <si>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</si>
  <si>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</si>
  <si>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</si>
  <si>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</si>
  <si>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</si>
  <si>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</si>
  <si>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</si>
  <si>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</si>
  <si>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</si>
  <si>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</si>
  <si>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</si>
  <si>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</si>
  <si>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</si>
  <si>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</si>
  <si>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</si>
  <si>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</si>
  <si>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</si>
  <si>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</si>
  <si>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</si>
  <si>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</si>
  <si>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</si>
  <si>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</si>
  <si>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</si>
  <si>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</si>
  <si>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</si>
  <si>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</si>
  <si>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</si>
  <si>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</si>
  <si>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</si>
  <si>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</si>
  <si>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</si>
  <si>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</si>
  <si>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</si>
  <si>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</si>
  <si>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</si>
  <si>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</si>
  <si>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</si>
  <si>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</si>
  <si>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</si>
  <si>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</si>
  <si>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</si>
  <si>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</si>
  <si>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</si>
  <si>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</si>
  <si>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</si>
  <si>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</si>
  <si>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</si>
  <si>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</si>
  <si>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</si>
  <si>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</si>
  <si>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</si>
  <si>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</si>
  <si>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</si>
  <si>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</si>
  <si>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</si>
  <si>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</si>
  <si>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</si>
  <si>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</si>
  <si>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</si>
  <si>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</si>
  <si>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</si>
  <si>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</si>
  <si>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</si>
  <si>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</si>
  <si>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</si>
  <si>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</si>
  <si>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</si>
  <si>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</si>
  <si>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</si>
  <si>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</si>
  <si>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</si>
  <si>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</si>
  <si>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</si>
  <si>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</si>
  <si>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</si>
  <si>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</si>
  <si>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</si>
  <si>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</si>
  <si>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</si>
  <si>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</si>
  <si>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</si>
  <si>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</si>
  <si>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</si>
  <si>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</si>
  <si>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</si>
  <si>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</si>
  <si>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</si>
  <si>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</si>
  <si>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</si>
  <si>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</si>
  <si>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</si>
  <si>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</si>
  <si>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</si>
  <si>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</si>
  <si>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</si>
  <si>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</si>
  <si>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</si>
  <si>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</si>
  <si>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</si>
  <si>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</si>
  <si>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</si>
  <si>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</si>
  <si>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</si>
  <si>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</si>
  <si>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</si>
  <si>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</si>
  <si>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</si>
  <si>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</si>
  <si>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</si>
  <si>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</si>
  <si>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</si>
  <si>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</si>
  <si>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</si>
  <si>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</si>
  <si>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</si>
  <si>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</si>
  <si>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</si>
  <si>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</si>
  <si>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</si>
  <si>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</si>
  <si>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</si>
  <si>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</si>
  <si>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</si>
  <si>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</si>
  <si>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</si>
  <si>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</si>
  <si>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</si>
  <si>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</si>
  <si>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</si>
  <si>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</si>
  <si>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</si>
  <si>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</si>
  <si>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</si>
  <si>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</si>
  <si>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</si>
  <si>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</si>
  <si>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</si>
  <si>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</si>
  <si>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</si>
  <si>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</si>
  <si>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</si>
  <si>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</si>
  <si>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</si>
  <si>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</si>
  <si>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</si>
  <si>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</si>
  <si>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</si>
  <si>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</si>
  <si>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</si>
  <si>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</si>
  <si>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</si>
  <si>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</si>
  <si>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</si>
  <si>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</si>
  <si>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</si>
  <si>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</si>
  <si>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</si>
  <si>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</si>
  <si>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</si>
  <si>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</si>
  <si>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</si>
  <si>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</si>
  <si>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</si>
  <si>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</si>
  <si>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</si>
  <si>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</si>
  <si>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</si>
  <si>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</si>
  <si>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</si>
  <si>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</si>
  <si>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</si>
  <si>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</si>
  <si>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</si>
  <si>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</si>
  <si>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</si>
  <si>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</si>
  <si>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</si>
  <si>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</si>
  <si>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</si>
  <si>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</si>
  <si>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</si>
  <si>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</si>
  <si>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</si>
  <si>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</si>
  <si>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</si>
  <si>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</si>
  <si>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</si>
  <si>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</si>
  <si>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</si>
  <si>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</si>
  <si>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</si>
  <si>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</si>
  <si>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</si>
  <si>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</si>
  <si>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</si>
  <si>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</si>
  <si>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</si>
  <si>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</si>
  <si>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</si>
  <si>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</si>
  <si>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</si>
  <si>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</si>
  <si>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</si>
  <si>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</si>
  <si>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</si>
  <si>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</si>
  <si>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</si>
  <si>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</si>
  <si>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</si>
  <si>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</si>
  <si>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</si>
  <si>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</si>
  <si>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</si>
  <si>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</si>
  <si>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</si>
  <si>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</si>
  <si>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</si>
  <si>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</si>
  <si>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</si>
  <si>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</si>
  <si>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</si>
  <si>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</si>
  <si>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</si>
  <si>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</si>
  <si>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</si>
  <si>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</si>
  <si>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</si>
  <si>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</si>
  <si>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</si>
  <si>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</si>
  <si>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</si>
  <si>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</si>
  <si>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</si>
  <si>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</si>
  <si>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</si>
  <si>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</si>
  <si>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</si>
  <si>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</si>
  <si>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</si>
  <si>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</si>
  <si>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</si>
  <si>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</si>
  <si>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</si>
  <si>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</si>
  <si>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</si>
  <si>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</si>
  <si>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</si>
  <si>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</si>
  <si>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</si>
  <si>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</si>
  <si>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</si>
  <si>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</si>
  <si>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</si>
  <si>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</si>
  <si>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</si>
  <si>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</si>
  <si>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</si>
  <si>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</si>
  <si>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</si>
  <si>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</si>
  <si>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</si>
  <si>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</si>
  <si>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</si>
  <si>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</si>
  <si>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</si>
  <si>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</si>
  <si>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</si>
  <si>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</si>
  <si>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</si>
  <si>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</si>
  <si>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</si>
  <si>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</si>
  <si>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</si>
  <si>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</si>
  <si>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</si>
  <si>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</si>
  <si>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</si>
  <si>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</si>
  <si>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</si>
  <si>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</si>
  <si>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</si>
  <si>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</si>
  <si>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</si>
  <si>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</si>
  <si>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</si>
  <si>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</si>
  <si>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</si>
  <si>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</si>
  <si>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</si>
  <si>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</si>
  <si>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</si>
  <si>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</si>
  <si>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</si>
  <si>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</si>
  <si>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</si>
  <si>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</si>
  <si>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</si>
  <si>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</si>
  <si>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</si>
  <si>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</si>
  <si>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</si>
  <si>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</si>
  <si>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</si>
  <si>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</si>
  <si>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</si>
  <si>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</si>
  <si>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</si>
  <si>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</si>
  <si>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</si>
  <si>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</si>
  <si>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</si>
  <si>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</si>
  <si>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</si>
  <si>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</si>
  <si>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</si>
  <si>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</si>
  <si>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</si>
  <si>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</si>
  <si>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</si>
  <si>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</si>
  <si>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</si>
  <si>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</si>
  <si>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</si>
  <si>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</si>
  <si>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</si>
  <si>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</si>
  <si>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</si>
  <si>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</si>
  <si>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</si>
  <si>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</si>
  <si>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</si>
  <si>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</si>
  <si>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</si>
  <si>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</si>
  <si>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</si>
  <si>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</si>
  <si>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</si>
  <si>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</si>
  <si>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</si>
  <si>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</si>
  <si>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</si>
  <si>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</si>
  <si>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</si>
  <si>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</si>
  <si>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</si>
  <si>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</si>
  <si>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</si>
  <si>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</si>
  <si>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</si>
  <si>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</si>
  <si>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</si>
  <si>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</si>
  <si>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</si>
  <si>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</si>
  <si>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</si>
  <si>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</si>
  <si>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</si>
  <si>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</si>
  <si>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</si>
  <si>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</si>
  <si>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</si>
  <si>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</si>
  <si>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</si>
  <si>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</si>
  <si>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</si>
  <si>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</si>
  <si>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</si>
  <si>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</si>
  <si>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</si>
  <si>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</si>
  <si>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</si>
  <si>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</si>
  <si>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</si>
  <si>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</si>
  <si>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</si>
  <si>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</si>
  <si>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</si>
  <si>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</si>
  <si>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</si>
  <si>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</si>
  <si>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</si>
  <si>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</si>
  <si>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</si>
  <si>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</si>
  <si>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</si>
  <si>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</si>
  <si>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</si>
  <si>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</si>
  <si>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</si>
  <si>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</si>
  <si>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</si>
  <si>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</si>
  <si>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</si>
  <si>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</si>
  <si>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</si>
  <si>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</si>
  <si>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</si>
  <si>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</si>
  <si>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</si>
  <si>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</si>
  <si>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</si>
  <si>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</si>
  <si>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</si>
  <si>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</si>
  <si>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</si>
  <si>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</si>
  <si>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</si>
  <si>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</si>
  <si>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</si>
  <si>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</si>
  <si>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</si>
  <si>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</si>
  <si>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</si>
  <si>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</si>
  <si>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</si>
  <si>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</si>
  <si>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</si>
  <si>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</si>
  <si>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</si>
  <si>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</si>
  <si>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</si>
  <si>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</si>
  <si>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</si>
  <si>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</si>
  <si>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</si>
  <si>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</si>
  <si>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</si>
  <si>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</si>
  <si>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</si>
  <si>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</si>
  <si>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</si>
  <si>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</si>
  <si>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</si>
  <si>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</si>
  <si>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</si>
  <si>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</si>
  <si>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</si>
  <si>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</si>
  <si>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</si>
  <si>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</si>
  <si>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</si>
  <si>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</si>
  <si>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</si>
  <si>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</si>
  <si>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</si>
  <si>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</si>
  <si>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</si>
  <si>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</si>
  <si>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</si>
  <si>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</si>
  <si>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</si>
  <si>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</si>
  <si>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</si>
  <si>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</si>
  <si>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</si>
  <si>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</si>
  <si>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</si>
  <si>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</si>
  <si>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</si>
  <si>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</si>
  <si>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</si>
  <si>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</si>
  <si>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</si>
  <si>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</si>
  <si>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</si>
  <si>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</si>
  <si>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</si>
  <si>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</si>
  <si>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</si>
  <si>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</si>
  <si>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</si>
  <si>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</si>
  <si>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</si>
  <si>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</si>
  <si>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</si>
  <si>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</si>
  <si>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</si>
  <si>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</si>
  <si>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</si>
  <si>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</si>
  <si>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</si>
  <si>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</si>
  <si>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</si>
  <si>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</si>
  <si>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</si>
  <si>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</si>
  <si>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</si>
  <si>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</si>
  <si>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</si>
  <si>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</si>
  <si>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</si>
  <si>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</si>
  <si>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</si>
  <si>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</si>
  <si>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</si>
  <si>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</si>
  <si>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</si>
  <si>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</si>
  <si>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</si>
  <si>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</si>
  <si>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</si>
  <si>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</si>
  <si>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</si>
  <si>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</si>
  <si>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</si>
  <si>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</si>
  <si>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</si>
  <si>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</si>
  <si>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</si>
  <si>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</si>
  <si>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</si>
  <si>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</si>
  <si>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</si>
  <si>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</si>
  <si>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</si>
  <si>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</si>
  <si>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</si>
  <si>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</si>
  <si>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</si>
  <si>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</si>
  <si>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</si>
  <si>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</si>
  <si>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</si>
  <si>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</si>
  <si>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</si>
  <si>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</si>
  <si>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</si>
  <si>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</si>
  <si>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</si>
  <si>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</si>
  <si>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</si>
  <si>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</si>
  <si>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</si>
  <si>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</si>
  <si>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</si>
  <si>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</si>
  <si>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</si>
  <si>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</si>
  <si>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</si>
  <si>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</si>
  <si>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</si>
  <si>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</si>
  <si>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</si>
  <si>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</si>
  <si>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</si>
  <si>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</si>
  <si>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</si>
  <si>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</si>
  <si>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</si>
  <si>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</si>
  <si>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</si>
  <si>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</si>
  <si>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</si>
  <si>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</si>
  <si>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</si>
  <si>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</si>
  <si>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</si>
  <si>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</si>
  <si>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</si>
  <si>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</si>
  <si>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</si>
  <si>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</si>
  <si>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</si>
  <si>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</si>
  <si>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</si>
  <si>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</si>
  <si>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</si>
  <si>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</si>
  <si>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</si>
  <si>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</si>
  <si>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</si>
  <si>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</si>
  <si>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</si>
  <si>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</si>
  <si>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</si>
  <si>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</si>
  <si>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</si>
  <si>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</si>
  <si>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</si>
  <si>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</si>
  <si>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</si>
  <si>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</si>
  <si>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</si>
  <si>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</si>
  <si>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</si>
  <si>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</si>
  <si>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</si>
  <si>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</si>
  <si>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</si>
  <si>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</si>
  <si>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</si>
  <si>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</si>
  <si>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</si>
  <si>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</si>
  <si>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</si>
  <si>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</si>
  <si>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</si>
  <si>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</si>
  <si>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</si>
  <si>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</si>
  <si>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</si>
  <si>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</si>
  <si>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</si>
  <si>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</si>
  <si>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</si>
  <si>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</si>
  <si>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</si>
  <si>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</si>
  <si>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</si>
  <si>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</si>
  <si>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</si>
  <si>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</si>
  <si>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</si>
  <si>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</si>
  <si>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</si>
  <si>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</si>
  <si>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</si>
  <si>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</si>
  <si>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</si>
  <si>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</si>
  <si>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</si>
  <si>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</si>
  <si>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</si>
  <si>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</si>
  <si>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</si>
  <si>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</si>
  <si>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</si>
  <si>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</si>
  <si>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</si>
  <si>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</si>
  <si>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</si>
  <si>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</si>
  <si>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</si>
  <si>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</si>
  <si>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</si>
  <si>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</si>
  <si>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</si>
  <si>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</si>
  <si>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</si>
  <si>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</si>
  <si>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</si>
  <si>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</si>
  <si>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</si>
  <si>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</si>
  <si>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</si>
  <si>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</si>
  <si>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</si>
  <si>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</si>
  <si>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</si>
  <si>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</si>
  <si>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</si>
  <si>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</si>
  <si>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</si>
  <si>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</si>
  <si>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</si>
  <si>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</si>
  <si>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</si>
  <si>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</si>
  <si>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</si>
  <si>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</si>
  <si>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</si>
  <si>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</si>
  <si>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</si>
  <si>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</si>
  <si>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</si>
  <si>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</si>
  <si>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</si>
  <si>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</si>
  <si>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</si>
  <si>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</si>
  <si>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</si>
  <si>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</si>
  <si>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</si>
  <si>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</si>
  <si>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</si>
  <si>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</si>
  <si>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</si>
  <si>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</si>
  <si>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</si>
  <si>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</si>
  <si>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</si>
  <si>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</si>
  <si>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</si>
  <si>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</si>
  <si>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</si>
  <si>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</si>
  <si>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</si>
  <si>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</si>
  <si>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</si>
  <si>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</si>
  <si>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</si>
  <si>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</si>
  <si>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</si>
  <si>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</si>
  <si>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</si>
  <si>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</si>
  <si>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</si>
  <si>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</si>
  <si>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</si>
  <si>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</si>
  <si>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</si>
  <si>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</si>
  <si>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</si>
  <si>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</si>
  <si>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</si>
  <si>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</si>
  <si>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</si>
  <si>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</si>
  <si>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</si>
  <si>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</si>
  <si>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</si>
  <si>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</si>
  <si>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</si>
  <si>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</si>
  <si>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</si>
  <si>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</si>
  <si>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</si>
  <si>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</si>
  <si>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</si>
  <si>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</si>
  <si>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</si>
  <si>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</si>
  <si>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</si>
  <si>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</si>
  <si>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</si>
  <si>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</si>
  <si>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</si>
  <si>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</si>
  <si>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</si>
  <si>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</si>
  <si>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</si>
  <si>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</si>
  <si>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</si>
  <si>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</si>
  <si>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</si>
  <si>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</si>
  <si>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</si>
  <si>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</si>
  <si>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</si>
  <si>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</si>
  <si>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</si>
  <si>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</si>
  <si>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</si>
  <si>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</si>
  <si>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</si>
  <si>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</si>
  <si>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</si>
  <si>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</si>
  <si>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</si>
  <si>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</si>
  <si>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</si>
  <si>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</si>
  <si>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</si>
  <si>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</si>
  <si>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</si>
  <si>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</si>
  <si>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</si>
  <si>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</si>
  <si>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</si>
  <si>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</si>
  <si>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</si>
  <si>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</si>
  <si>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</si>
  <si>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</si>
  <si>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</si>
  <si>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</si>
  <si>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</si>
  <si>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</si>
  <si>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</si>
  <si>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</si>
  <si>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</si>
  <si>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</si>
  <si>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</si>
  <si>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</si>
  <si>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</si>
  <si>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</si>
  <si>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</si>
  <si>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</si>
  <si>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</si>
  <si>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</si>
  <si>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</si>
  <si>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</si>
  <si>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</si>
  <si>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</si>
  <si>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</si>
  <si>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</si>
  <si>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</si>
  <si>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</si>
  <si>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</si>
  <si>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</si>
  <si>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</si>
  <si>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</si>
  <si>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</si>
  <si>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</si>
  <si>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</si>
  <si>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</si>
  <si>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</si>
  <si>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</si>
  <si>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</si>
  <si>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</si>
  <si>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</si>
  <si>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</si>
  <si>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</si>
  <si>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</si>
  <si>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</si>
  <si>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</si>
  <si>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</si>
  <si>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</si>
  <si>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</si>
  <si>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</si>
  <si>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</si>
  <si>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</si>
  <si>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</si>
  <si>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</si>
  <si>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</si>
  <si>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</si>
  <si>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</si>
  <si>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</si>
  <si>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</si>
  <si>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</si>
  <si>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</si>
  <si>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</si>
  <si>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</si>
  <si>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</si>
  <si>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</si>
  <si>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</si>
  <si>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</si>
  <si>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</si>
  <si>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</si>
  <si>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</si>
  <si>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</si>
  <si>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</si>
  <si>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</si>
  <si>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</si>
  <si>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</si>
  <si>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</si>
  <si>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</si>
  <si>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</si>
  <si>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</si>
  <si>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</si>
  <si>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</si>
  <si>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</si>
  <si>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</si>
  <si>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</si>
  <si>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</si>
  <si>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</si>
  <si>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</si>
  <si>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</si>
  <si>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</si>
  <si>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</si>
  <si>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</si>
  <si>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</si>
  <si>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</si>
  <si>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</si>
  <si>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</si>
  <si>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</si>
  <si>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</si>
  <si>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</si>
  <si>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</si>
  <si>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</si>
  <si>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</si>
  <si>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</si>
  <si>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</si>
  <si>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</si>
  <si>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</si>
  <si>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</si>
  <si>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</si>
  <si>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</si>
  <si>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</si>
  <si>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</si>
  <si>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</si>
  <si>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</si>
  <si>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</si>
  <si>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</si>
  <si>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</si>
  <si>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</si>
  <si>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</si>
  <si>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</si>
  <si>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</si>
  <si>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</si>
  <si>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</si>
  <si>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</si>
  <si>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</si>
  <si>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</si>
  <si>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</si>
  <si>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</si>
  <si>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</si>
  <si>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</si>
  <si>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</si>
  <si>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</si>
  <si>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</si>
  <si>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</si>
  <si>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</si>
  <si>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</si>
  <si>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</si>
  <si>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</si>
  <si>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</si>
  <si>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</si>
  <si>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</si>
  <si>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</si>
  <si>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</si>
  <si>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</si>
  <si>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</si>
  <si>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</si>
  <si>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</si>
  <si>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</si>
  <si>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</si>
  <si>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</si>
  <si>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</si>
  <si>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</si>
  <si>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</si>
  <si>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</si>
  <si>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</si>
  <si>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</si>
  <si>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</si>
  <si>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</si>
  <si>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</si>
  <si>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</si>
  <si>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</si>
  <si>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</si>
  <si>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</si>
  <si>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</si>
  <si>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</si>
  <si>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</si>
  <si>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</si>
  <si>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</si>
  <si>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</si>
  <si>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</si>
  <si>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</si>
  <si>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</si>
  <si>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</si>
  <si>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</si>
  <si>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</si>
  <si>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</si>
  <si>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</si>
  <si>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</si>
  <si>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</si>
  <si>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</si>
  <si>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</si>
  <si>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</si>
  <si>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</si>
  <si>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</si>
  <si>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</si>
  <si>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</si>
  <si>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</si>
  <si>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</si>
  <si>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</si>
  <si>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</si>
  <si>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</si>
  <si>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</si>
  <si>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</si>
  <si>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</si>
  <si>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</si>
  <si>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</si>
  <si>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</si>
  <si>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</si>
  <si>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</si>
  <si>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</si>
  <si>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</si>
  <si>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</si>
  <si>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</si>
  <si>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</si>
  <si>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</si>
  <si>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</si>
  <si>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</si>
  <si>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</si>
  <si>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</si>
  <si>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</si>
  <si>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</si>
  <si>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</si>
  <si>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</si>
  <si>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</si>
  <si>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</si>
  <si>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</si>
  <si>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</si>
  <si>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</si>
  <si>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</si>
  <si>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</si>
  <si>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</si>
  <si>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</si>
  <si>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</si>
  <si>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</si>
  <si>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</si>
  <si>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</si>
  <si>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</si>
  <si>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</si>
  <si>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</si>
  <si>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</si>
  <si>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</si>
  <si>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</si>
  <si>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</si>
  <si>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</si>
  <si>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</si>
  <si>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</si>
  <si>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</si>
  <si>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</si>
  <si>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</si>
  <si>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</si>
  <si>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</si>
  <si>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</si>
  <si>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</si>
  <si>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</si>
  <si>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</si>
  <si>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</si>
  <si>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</si>
  <si>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</si>
  <si>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</si>
  <si>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</si>
  <si>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</si>
  <si>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</si>
  <si>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</si>
  <si>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</si>
  <si>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</si>
  <si>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</si>
  <si>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</si>
  <si>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</si>
  <si>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</si>
  <si>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</si>
  <si>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</si>
  <si>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</si>
  <si>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</si>
  <si>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</si>
  <si>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</si>
  <si>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</si>
  <si>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</si>
  <si>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</si>
  <si>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</si>
  <si>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</si>
  <si>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</si>
  <si>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</si>
  <si>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</si>
  <si>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</si>
  <si>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</si>
  <si>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</si>
  <si>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</si>
  <si>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</si>
  <si>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</si>
  <si>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</si>
  <si>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</si>
  <si>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</si>
  <si>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</si>
  <si>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</si>
  <si>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</si>
  <si>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</si>
  <si>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</si>
  <si>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</si>
  <si>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</si>
  <si>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</si>
  <si>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</si>
  <si>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</si>
  <si>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</si>
  <si>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</si>
  <si>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</si>
  <si>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</si>
  <si>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</si>
  <si>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</si>
  <si>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</si>
  <si>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</si>
  <si>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</si>
  <si>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</si>
  <si>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</si>
  <si>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</si>
  <si>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</si>
  <si>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</si>
  <si>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</si>
  <si>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</si>
  <si>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</si>
  <si>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</si>
  <si>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</si>
  <si>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</si>
  <si>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</si>
  <si>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</si>
  <si>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</si>
  <si>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</si>
  <si>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</si>
  <si>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</si>
  <si>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</si>
  <si>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</si>
  <si>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</si>
  <si>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</si>
  <si>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</si>
  <si>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</si>
  <si>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</si>
  <si>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</si>
  <si>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</si>
  <si>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</si>
  <si>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</si>
  <si>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</si>
  <si>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</si>
  <si>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</si>
  <si>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</si>
  <si>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</si>
  <si>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</si>
  <si>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</si>
  <si>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</si>
  <si>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</si>
  <si>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</si>
  <si>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</si>
  <si>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</si>
  <si>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</si>
  <si>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</si>
  <si>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</si>
  <si>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</si>
  <si>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</si>
  <si>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</si>
  <si>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</si>
  <si>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</si>
  <si>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</si>
  <si>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</si>
  <si>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</si>
  <si>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</si>
  <si>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</si>
  <si>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</si>
  <si>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</si>
  <si>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</si>
  <si>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</si>
  <si>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</si>
  <si>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</si>
  <si>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</si>
  <si>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</si>
  <si>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</si>
  <si>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</si>
  <si>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</si>
  <si>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</si>
  <si>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</si>
  <si>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</si>
  <si>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</si>
  <si>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</si>
  <si>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</si>
  <si>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</si>
  <si>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</si>
  <si>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</si>
  <si>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</si>
  <si>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</si>
  <si>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</si>
  <si>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</si>
  <si>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</si>
  <si>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</si>
  <si>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</si>
  <si>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</si>
  <si>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</si>
  <si>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</si>
  <si>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</si>
  <si>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</si>
  <si>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</si>
  <si>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</si>
  <si>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</si>
  <si>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</si>
  <si>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</si>
  <si>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</si>
  <si>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</si>
  <si>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</si>
  <si>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</si>
  <si>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</si>
  <si>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</si>
  <si>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</si>
  <si>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</si>
  <si>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</si>
  <si>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</si>
  <si>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</si>
  <si>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</si>
  <si>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</si>
  <si>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</si>
  <si>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</si>
  <si>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</si>
  <si>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</si>
  <si>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</si>
  <si>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</si>
  <si>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</si>
  <si>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</si>
  <si>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</si>
  <si>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</si>
  <si>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</si>
  <si>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</si>
  <si>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</si>
  <si>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</si>
  <si>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</si>
  <si>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</si>
  <si>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</si>
  <si>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</si>
  <si>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</si>
  <si>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</si>
  <si>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</si>
  <si>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</si>
  <si>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</si>
  <si>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</si>
  <si>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</si>
  <si>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</si>
  <si>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</si>
  <si>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</si>
  <si>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</si>
  <si>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</si>
  <si>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</si>
  <si>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</si>
  <si>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</si>
  <si>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</si>
  <si>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</si>
  <si>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</si>
  <si>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</si>
  <si>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</si>
  <si>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</si>
  <si>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</si>
  <si>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</si>
  <si>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</si>
  <si>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</si>
  <si>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</si>
  <si>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</si>
  <si>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</si>
  <si>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</si>
  <si>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</si>
  <si>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</si>
  <si>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</si>
  <si>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</si>
  <si>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</si>
  <si>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</si>
  <si>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</si>
  <si>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</si>
  <si>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</si>
  <si>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</si>
  <si>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</si>
  <si>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</si>
  <si>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</si>
  <si>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</si>
  <si>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</si>
  <si>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</si>
  <si>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</si>
  <si>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</si>
  <si>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</si>
  <si>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</si>
  <si>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</si>
  <si>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</si>
  <si>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</si>
  <si>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</si>
  <si>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</si>
  <si>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</si>
  <si>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</si>
  <si>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</si>
  <si>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</si>
  <si>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</si>
  <si>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</si>
  <si>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</si>
  <si>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</si>
  <si>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</si>
  <si>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</si>
  <si>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</si>
  <si>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</si>
  <si>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</si>
  <si>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</si>
  <si>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</si>
  <si>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</si>
  <si>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</si>
  <si>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</si>
  <si>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</si>
  <si>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</si>
  <si>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</si>
  <si>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</si>
  <si>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</si>
  <si>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</si>
  <si>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</si>
  <si>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</si>
  <si>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</si>
  <si>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</si>
  <si>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</si>
  <si>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</si>
  <si>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</si>
  <si>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</si>
  <si>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</si>
  <si>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</si>
  <si>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</si>
  <si>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</si>
  <si>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</si>
  <si>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</si>
  <si>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</si>
  <si>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</si>
  <si>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</si>
  <si>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</si>
  <si>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</si>
  <si>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</si>
  <si>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</si>
  <si>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</si>
  <si>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</si>
  <si>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</si>
  <si>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</si>
  <si>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</si>
  <si>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</si>
  <si>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</si>
  <si>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</si>
  <si>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</si>
  <si>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</si>
  <si>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</si>
  <si>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</si>
  <si>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</si>
  <si>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</si>
  <si>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</si>
  <si>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</si>
  <si>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</si>
  <si>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</si>
  <si>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</si>
  <si>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</si>
  <si>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</si>
  <si>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</si>
  <si>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</si>
  <si>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</si>
  <si>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</si>
  <si>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</si>
  <si>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</si>
  <si>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</si>
  <si>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</si>
  <si>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</si>
  <si>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</si>
  <si>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</si>
  <si>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</si>
  <si>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</si>
  <si>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</si>
  <si>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</si>
  <si>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</si>
  <si>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</si>
  <si>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</si>
  <si>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</si>
  <si>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</si>
  <si>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</si>
  <si>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</si>
  <si>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</si>
  <si>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</si>
  <si>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</si>
  <si>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</si>
  <si>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</si>
  <si>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</si>
  <si>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</si>
  <si>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</si>
  <si>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</si>
  <si>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</si>
  <si>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</si>
  <si>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</si>
  <si>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</si>
  <si>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</si>
  <si>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</si>
  <si>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</si>
  <si>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</si>
  <si>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</si>
  <si>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</si>
  <si>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</si>
  <si>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</si>
  <si>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</si>
  <si>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</si>
  <si>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</si>
  <si>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</si>
  <si>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</si>
  <si>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</si>
  <si>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</si>
  <si>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</si>
  <si>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</si>
  <si>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</si>
  <si>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</si>
  <si>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</si>
  <si>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</si>
  <si>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</si>
  <si>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</si>
  <si>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</si>
  <si>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</si>
  <si>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</si>
  <si>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</si>
  <si>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</si>
  <si>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</si>
  <si>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</si>
  <si>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</si>
  <si>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</si>
  <si>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</si>
  <si>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</si>
  <si>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</si>
  <si>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</si>
  <si>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</si>
  <si>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</si>
  <si>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</si>
  <si>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</si>
  <si>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</si>
  <si>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</si>
  <si>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</si>
  <si>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</si>
  <si>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</si>
  <si>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</si>
  <si>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</si>
  <si>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</si>
  <si>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</si>
  <si>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</si>
  <si>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</si>
  <si>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</si>
  <si>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</si>
  <si>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</si>
  <si>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</si>
  <si>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</si>
  <si>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</si>
  <si>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</si>
  <si>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</si>
  <si>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</si>
  <si>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</si>
  <si>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</si>
  <si>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</si>
  <si>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</si>
  <si>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</si>
  <si>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</si>
  <si>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</si>
  <si>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</si>
  <si>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</si>
  <si>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</si>
  <si>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</si>
  <si>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</si>
  <si>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</si>
  <si>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</si>
  <si>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</si>
  <si>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</si>
  <si>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</si>
  <si>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</si>
  <si>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</si>
  <si>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</si>
  <si>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</si>
  <si>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</si>
  <si>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</si>
  <si>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</si>
  <si>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</si>
  <si>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</si>
  <si>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</si>
  <si>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</si>
  <si>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</si>
  <si>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</si>
  <si>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</si>
  <si>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</si>
  <si>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</si>
  <si>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</si>
  <si>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</si>
  <si>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</si>
  <si>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</si>
  <si>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</si>
  <si>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</si>
  <si>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</si>
  <si>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</si>
  <si>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</si>
  <si>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</si>
  <si>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</si>
  <si>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</si>
  <si>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</si>
  <si>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</si>
  <si>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</si>
  <si>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</si>
  <si>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</si>
  <si>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</si>
  <si>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</si>
  <si>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</si>
  <si>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</si>
  <si>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</si>
  <si>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</si>
  <si>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</si>
  <si>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</si>
  <si>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</si>
  <si>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</si>
  <si>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</si>
  <si>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</si>
  <si>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</si>
  <si>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</si>
  <si>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</si>
  <si>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</si>
  <si>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</si>
  <si>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</si>
  <si>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</si>
  <si>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</si>
  <si>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</si>
  <si>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</si>
  <si>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</si>
  <si>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</si>
  <si>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</si>
  <si>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</si>
  <si>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</si>
  <si>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</si>
  <si>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</si>
  <si>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</si>
  <si>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</si>
  <si>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</si>
  <si>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</si>
  <si>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</si>
  <si>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</si>
  <si>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</si>
  <si>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</si>
  <si>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</si>
  <si>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</si>
  <si>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</si>
  <si>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</si>
  <si>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</si>
  <si>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</si>
  <si>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</si>
  <si>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</si>
  <si>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</si>
  <si>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</si>
  <si>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</si>
  <si>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</si>
  <si>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</si>
  <si>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</si>
  <si>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</si>
  <si>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</si>
  <si>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</si>
  <si>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</si>
  <si>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</si>
  <si>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</si>
  <si>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</si>
  <si>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</si>
  <si>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</si>
  <si>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</si>
  <si>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</si>
  <si>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</si>
  <si>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</si>
  <si>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</si>
  <si>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</si>
  <si>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</si>
  <si>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</si>
  <si>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</si>
  <si>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</si>
  <si>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</si>
  <si>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</si>
  <si>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</si>
  <si>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</si>
  <si>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</si>
  <si>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</si>
  <si>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</si>
  <si>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</si>
  <si>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</si>
  <si>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</si>
  <si>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</si>
  <si>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</si>
  <si>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</si>
  <si>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</si>
  <si>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</si>
  <si>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</si>
  <si>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</si>
  <si>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</si>
  <si>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</si>
  <si>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</si>
  <si>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</si>
  <si>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</si>
  <si>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</si>
  <si>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</si>
  <si>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</si>
  <si>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</si>
  <si>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</si>
  <si>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</si>
  <si>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</si>
  <si>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</si>
  <si>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</si>
  <si>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</si>
  <si>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</si>
  <si>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</si>
  <si>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</si>
  <si>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</si>
  <si>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</si>
  <si>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</si>
  <si>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</si>
  <si>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</si>
  <si>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</si>
  <si>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</si>
  <si>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</si>
  <si>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</si>
  <si>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</si>
  <si>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</si>
  <si>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</si>
  <si>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</si>
  <si>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</si>
  <si>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</si>
  <si>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</si>
  <si>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</si>
  <si>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</si>
  <si>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</si>
  <si>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</si>
  <si>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</si>
  <si>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</si>
  <si>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</si>
  <si>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</si>
  <si>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</si>
  <si>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</si>
  <si>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</si>
  <si>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</si>
  <si>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</si>
  <si>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</si>
  <si>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</si>
  <si>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</si>
  <si>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</si>
  <si>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</si>
  <si>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</si>
  <si>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</si>
  <si>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</si>
  <si>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</si>
  <si>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</si>
  <si>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</si>
  <si>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</si>
  <si>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</si>
  <si>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</si>
  <si>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</si>
  <si>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</si>
  <si>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</si>
  <si>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</si>
  <si>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</si>
  <si>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</si>
  <si>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</si>
  <si>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</si>
  <si>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</si>
  <si>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</si>
  <si>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</si>
  <si>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</si>
  <si>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</si>
  <si>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</si>
  <si>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</si>
  <si>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</si>
  <si>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</si>
  <si>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</si>
  <si>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</si>
  <si>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</si>
  <si>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</si>
  <si>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</si>
  <si>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</si>
  <si>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</si>
  <si>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</si>
  <si>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</si>
  <si>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</si>
  <si>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</si>
  <si>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</si>
  <si>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</si>
  <si>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</si>
  <si>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</si>
  <si>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</si>
  <si>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</si>
  <si>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</si>
  <si>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</si>
  <si>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</si>
  <si>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</si>
  <si>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</si>
  <si>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</si>
  <si>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</si>
  <si>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</si>
  <si>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</si>
  <si>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</si>
  <si>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</si>
  <si>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</si>
  <si>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</si>
  <si>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</si>
  <si>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</si>
  <si>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</si>
  <si>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</si>
  <si>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</si>
  <si>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</si>
  <si>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</si>
  <si>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</si>
  <si>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</si>
  <si>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</si>
  <si>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</si>
  <si>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</si>
  <si>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</si>
  <si>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</si>
  <si>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</si>
  <si>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</si>
  <si>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</si>
  <si>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</si>
  <si>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</si>
  <si>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</si>
  <si>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</si>
  <si>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</si>
  <si>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</si>
  <si>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</si>
  <si>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</si>
  <si>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</si>
  <si>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</si>
  <si>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</si>
  <si>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</si>
  <si>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</si>
  <si>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</si>
  <si>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</si>
  <si>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</si>
  <si>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</si>
  <si>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</si>
  <si>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</si>
  <si>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</si>
  <si>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</si>
  <si>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</si>
  <si>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</si>
  <si>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</si>
  <si>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</si>
  <si>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</si>
  <si>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</si>
  <si>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</si>
  <si>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</si>
  <si>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</si>
  <si>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</si>
  <si>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</si>
  <si>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</si>
  <si>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</si>
  <si>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</si>
  <si>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</si>
  <si>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</si>
  <si>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</si>
  <si>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</si>
  <si>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</si>
  <si>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</si>
  <si>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</si>
  <si>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</si>
  <si>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</si>
  <si>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</si>
  <si>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</si>
  <si>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</si>
  <si>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</si>
  <si>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</si>
  <si>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</si>
  <si>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</si>
  <si>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</si>
  <si>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</si>
  <si>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</si>
  <si>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</si>
  <si>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</si>
  <si>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</si>
  <si>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</si>
  <si>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</si>
  <si>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</si>
  <si>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</si>
  <si>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</si>
  <si>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</si>
  <si>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</si>
  <si>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</si>
  <si>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</si>
  <si>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</si>
  <si>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</si>
  <si>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</si>
  <si>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</si>
  <si>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</si>
  <si>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</si>
  <si>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</si>
  <si>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</si>
  <si>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</si>
  <si>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</si>
  <si>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</si>
  <si>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</si>
  <si>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</si>
  <si>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</si>
  <si>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</si>
  <si>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</si>
  <si>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</si>
  <si>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</si>
  <si>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</si>
  <si>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</si>
  <si>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</si>
  <si>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</si>
  <si>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</si>
  <si>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</si>
  <si>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</si>
  <si>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</si>
  <si>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</si>
  <si>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</si>
  <si>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</si>
  <si>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</si>
  <si>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</si>
  <si>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</si>
  <si>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</si>
  <si>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</si>
  <si>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</si>
  <si>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</si>
  <si>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</si>
  <si>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</si>
  <si>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</si>
  <si>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</si>
  <si>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</si>
  <si>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</si>
  <si>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</si>
  <si>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</si>
  <si>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</si>
  <si>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</si>
  <si>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</si>
  <si>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</si>
  <si>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</si>
  <si>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</si>
  <si>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</si>
  <si>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</si>
  <si>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</si>
  <si>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</si>
  <si>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</si>
  <si>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</si>
  <si>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</si>
  <si>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</si>
  <si>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</si>
  <si>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</si>
  <si>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</si>
  <si>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</si>
  <si>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</si>
  <si>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</si>
  <si>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</si>
  <si>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</si>
  <si>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</si>
  <si>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</si>
  <si>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</si>
  <si>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</si>
  <si>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</si>
  <si>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</si>
  <si>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</si>
  <si>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</si>
  <si>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</si>
  <si>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</si>
  <si>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</si>
  <si>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</si>
  <si>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</si>
  <si>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</si>
  <si>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</si>
  <si>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</si>
  <si>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</si>
  <si>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</si>
  <si>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</si>
  <si>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</si>
  <si>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</si>
  <si>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</si>
  <si>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</si>
  <si>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</si>
  <si>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</si>
  <si>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</si>
  <si>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</si>
  <si>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</si>
  <si>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</si>
  <si>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</si>
  <si>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</si>
  <si>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</si>
  <si>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</si>
  <si>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</si>
  <si>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</si>
  <si>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</si>
  <si>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</si>
  <si>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</si>
  <si>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</si>
  <si>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</si>
  <si>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</si>
  <si>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</si>
  <si>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</si>
  <si>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</si>
  <si>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</si>
  <si>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</si>
  <si>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</si>
  <si>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</si>
  <si>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</si>
  <si>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</si>
  <si>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</si>
  <si>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</si>
  <si>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</si>
  <si>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</si>
  <si>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</si>
  <si>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</si>
  <si>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</si>
  <si>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</si>
  <si>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</si>
  <si>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</si>
  <si>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</si>
  <si>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</si>
  <si>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</si>
  <si>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</si>
  <si>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</si>
  <si>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</si>
  <si>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</si>
  <si>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</si>
  <si>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</si>
  <si>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</si>
  <si>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</si>
  <si>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</si>
  <si>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</si>
  <si>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</si>
  <si>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</si>
  <si>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</si>
  <si>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</si>
  <si>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</si>
  <si>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</si>
  <si>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</si>
  <si>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</si>
  <si>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</si>
  <si>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</si>
  <si>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</si>
  <si>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</si>
  <si>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</si>
  <si>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</si>
  <si>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</si>
  <si>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</si>
  <si>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</si>
  <si>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</si>
  <si>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</si>
  <si>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</si>
  <si>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</si>
  <si>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</si>
  <si>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</si>
  <si>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</si>
  <si>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</si>
  <si>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</si>
  <si>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</si>
  <si>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</si>
  <si>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</si>
  <si>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</si>
  <si>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</si>
  <si>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</si>
  <si>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</si>
  <si>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</si>
  <si>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</si>
  <si>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</si>
  <si>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</si>
  <si>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</si>
  <si>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</si>
  <si>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</si>
  <si>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</si>
  <si>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</si>
  <si>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</si>
  <si>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</si>
  <si>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</si>
  <si>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</si>
  <si>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</si>
  <si>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</si>
  <si>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</si>
  <si>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</si>
  <si>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</si>
  <si>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</si>
  <si>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</si>
  <si>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</si>
  <si>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</si>
  <si>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</si>
  <si>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</si>
  <si>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</si>
  <si>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</si>
  <si>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</si>
  <si>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</si>
  <si>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</si>
  <si>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</si>
  <si>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</si>
  <si>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</si>
  <si>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</si>
  <si>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</si>
  <si>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</si>
  <si>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</si>
  <si>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</si>
  <si>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</si>
  <si>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</si>
  <si>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</si>
  <si>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</si>
  <si>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</si>
  <si>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</si>
  <si>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</si>
  <si>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</si>
  <si>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</si>
  <si>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</si>
  <si>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</si>
  <si>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</si>
  <si>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</si>
  <si>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</si>
  <si>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</si>
  <si>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</si>
  <si>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</si>
  <si>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</si>
  <si>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</si>
  <si>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</si>
  <si>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</si>
  <si>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</si>
  <si>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</si>
  <si>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</si>
  <si>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</si>
  <si>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</si>
  <si>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</si>
  <si>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</si>
  <si>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</si>
  <si>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</si>
  <si>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</si>
  <si>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</si>
  <si>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</si>
  <si>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</si>
  <si>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</si>
  <si>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</si>
  <si>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</si>
  <si>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</si>
  <si>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</si>
  <si>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</si>
  <si>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</si>
  <si>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</si>
  <si>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</si>
  <si>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</si>
  <si>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</si>
  <si>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</si>
  <si>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</si>
  <si>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</si>
  <si>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</si>
  <si>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</si>
  <si>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</si>
  <si>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</si>
  <si>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</si>
  <si>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</si>
  <si>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</si>
  <si>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</si>
  <si>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</si>
  <si>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</si>
  <si>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</si>
  <si>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</si>
  <si>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</si>
  <si>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</si>
  <si>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</si>
  <si>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</si>
  <si>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</si>
  <si>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</si>
  <si>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</si>
  <si>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</si>
  <si>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</si>
  <si>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</si>
  <si>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</si>
  <si>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</si>
  <si>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</si>
  <si>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</si>
  <si>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</si>
  <si>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</si>
  <si>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</si>
  <si>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</si>
  <si>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</si>
  <si>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</si>
  <si>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</si>
  <si>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</si>
  <si>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</si>
  <si>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</si>
  <si>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</si>
  <si>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</si>
  <si>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</si>
  <si>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</si>
  <si>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</si>
  <si>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</si>
  <si>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</si>
  <si>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</si>
  <si>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</si>
  <si>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</si>
  <si>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</si>
  <si>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</si>
  <si>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</si>
  <si>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</si>
  <si>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</si>
  <si>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</si>
  <si>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</si>
  <si>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</si>
  <si>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</si>
  <si>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</si>
  <si>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</si>
  <si>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</si>
  <si>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</si>
  <si>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</si>
  <si>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</si>
  <si>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</si>
  <si>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</si>
  <si>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</si>
  <si>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</si>
  <si>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</si>
  <si>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</si>
  <si>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</si>
  <si>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</si>
  <si>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</si>
  <si>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</si>
  <si>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</si>
  <si>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</si>
  <si>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</si>
  <si>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</si>
  <si>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</si>
  <si>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</si>
  <si>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</si>
  <si>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</si>
  <si>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</si>
  <si>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</si>
  <si>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</si>
  <si>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</si>
  <si>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</si>
  <si>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</si>
  <si>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</si>
  <si>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</si>
  <si>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</si>
  <si>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</si>
  <si>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</si>
  <si>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</si>
  <si>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</si>
  <si>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</si>
  <si>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</si>
  <si>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</si>
  <si>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</si>
  <si>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</si>
  <si>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</si>
  <si>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</si>
  <si>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</si>
  <si>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</si>
  <si>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</si>
  <si>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</si>
  <si>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</si>
  <si>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</si>
  <si>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</si>
  <si>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</si>
  <si>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</si>
  <si>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</si>
  <si>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</si>
  <si>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</si>
  <si>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</si>
  <si>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</si>
  <si>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</si>
  <si>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</si>
  <si>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</si>
  <si>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</si>
  <si>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</si>
  <si>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</si>
  <si>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</si>
  <si>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</si>
  <si>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</si>
  <si>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</si>
  <si>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</si>
  <si>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</si>
  <si>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</si>
  <si>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</si>
  <si>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</si>
  <si>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</si>
  <si>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</si>
  <si>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</si>
  <si>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</si>
  <si>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</si>
  <si>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</si>
  <si>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</si>
  <si>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</si>
  <si>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</si>
  <si>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</si>
  <si>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</si>
  <si>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</si>
  <si>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</si>
  <si>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</si>
  <si>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</si>
  <si>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</si>
  <si>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</si>
  <si>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</si>
  <si>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</si>
  <si>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</si>
  <si>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</si>
  <si>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</si>
  <si>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</si>
  <si>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</si>
  <si>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</si>
  <si>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</si>
  <si>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</si>
  <si>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</si>
  <si>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</si>
  <si>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</si>
  <si>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</si>
  <si>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</si>
  <si>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</si>
  <si>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</si>
  <si>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</si>
  <si>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</si>
  <si>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</si>
  <si>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</si>
  <si>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</si>
  <si>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</si>
  <si>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</si>
  <si>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</si>
  <si>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</si>
  <si>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</si>
  <si>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</si>
  <si>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</si>
  <si>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</si>
  <si>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</si>
  <si>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</si>
  <si>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</si>
  <si>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</si>
  <si>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</si>
  <si>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</si>
  <si>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</si>
  <si>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</si>
  <si>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</si>
  <si>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</si>
  <si>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</si>
  <si>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</si>
  <si>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</si>
  <si>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</si>
  <si>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</si>
  <si>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</si>
  <si>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</si>
  <si>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</si>
  <si>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</si>
  <si>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</si>
  <si>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</si>
  <si>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</si>
  <si>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</si>
  <si>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</si>
  <si>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</si>
  <si>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</si>
  <si>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</si>
  <si>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</si>
  <si>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</si>
  <si>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</si>
  <si>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</si>
  <si>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</si>
  <si>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</si>
  <si>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</si>
  <si>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</si>
  <si>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</si>
  <si>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</si>
  <si>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</si>
  <si>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</si>
  <si>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</si>
  <si>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</si>
  <si>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</si>
  <si>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</si>
  <si>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</si>
  <si>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</si>
  <si>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</si>
  <si>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</si>
  <si>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</si>
  <si>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</si>
  <si>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</si>
  <si>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</si>
  <si>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</si>
  <si>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</si>
  <si>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</si>
  <si>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</si>
  <si>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</si>
  <si>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</si>
  <si>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</si>
  <si>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</si>
  <si>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</si>
  <si>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</si>
  <si>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</si>
  <si>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</si>
  <si>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</si>
  <si>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</si>
  <si>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</si>
  <si>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</si>
  <si>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</si>
  <si>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</si>
  <si>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</si>
  <si>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</si>
  <si>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</si>
  <si>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</si>
  <si>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</si>
  <si>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</si>
  <si>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</si>
  <si>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</si>
  <si>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</si>
  <si>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</si>
  <si>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</si>
  <si>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</si>
  <si>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</si>
  <si>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</si>
  <si>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</si>
  <si>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</si>
  <si>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</si>
  <si>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</si>
  <si>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</si>
  <si>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</si>
  <si>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</si>
  <si>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</si>
  <si>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</si>
  <si>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</si>
  <si>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</si>
  <si>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</si>
  <si>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</si>
  <si>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</si>
  <si>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</si>
  <si>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</si>
  <si>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</si>
  <si>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</si>
  <si>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</si>
  <si>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</si>
  <si>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</si>
  <si>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</si>
  <si>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</si>
  <si>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</si>
  <si>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</si>
  <si>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</si>
  <si>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</si>
  <si>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</si>
  <si>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</si>
  <si>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</si>
  <si>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</si>
  <si>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</si>
  <si>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</si>
  <si>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</si>
  <si>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</si>
  <si>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</si>
  <si>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</si>
  <si>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</si>
  <si>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</si>
  <si>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</si>
  <si>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</si>
  <si>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</si>
  <si>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</si>
  <si>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</si>
  <si>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</si>
  <si>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</si>
  <si>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</si>
  <si>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</si>
  <si>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</si>
  <si>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</si>
  <si>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</si>
  <si>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</si>
  <si>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</si>
  <si>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</si>
  <si>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</si>
  <si>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</si>
  <si>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</si>
  <si>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</si>
  <si>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</si>
  <si>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</si>
  <si>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</si>
  <si>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</si>
  <si>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</si>
  <si>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</si>
  <si>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</si>
  <si>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</si>
  <si>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</si>
  <si>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</si>
  <si>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</si>
  <si>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</si>
  <si>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</si>
  <si>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</si>
  <si>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</si>
  <si>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</si>
  <si>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</si>
  <si>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</si>
  <si>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</si>
  <si>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</si>
  <si>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</si>
  <si>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</si>
  <si>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</si>
  <si>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</si>
  <si>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</si>
  <si>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</si>
  <si>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</si>
  <si>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</si>
  <si>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</si>
  <si>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</si>
  <si>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</si>
  <si>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</si>
  <si>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</si>
  <si>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</si>
  <si>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</si>
  <si>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</si>
  <si>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</si>
  <si>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</si>
  <si>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</si>
  <si>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</si>
  <si>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</si>
  <si>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</si>
  <si>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</si>
  <si>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</si>
  <si>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</si>
  <si>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</si>
  <si>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</si>
  <si>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</si>
  <si>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</si>
  <si>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</si>
  <si>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</si>
  <si>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</si>
  <si>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</si>
  <si>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</si>
  <si>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</si>
  <si>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</si>
  <si>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</si>
  <si>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</si>
  <si>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</si>
  <si>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</si>
  <si>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</si>
  <si>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</si>
  <si>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</si>
  <si>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</si>
  <si>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</si>
  <si>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</si>
  <si>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</si>
  <si>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</si>
  <si>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</si>
  <si>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</si>
  <si>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</si>
  <si>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</si>
  <si>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</si>
  <si>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</si>
  <si>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</si>
  <si>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</si>
  <si>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</si>
  <si>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</si>
  <si>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</si>
  <si>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</si>
  <si>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</si>
  <si>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</si>
  <si>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</si>
  <si>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</si>
  <si>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</si>
  <si>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</si>
  <si>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</si>
  <si>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</si>
  <si>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</si>
  <si>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</si>
  <si>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</si>
  <si>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</si>
  <si>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</si>
  <si>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</si>
  <si>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</si>
  <si>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</si>
  <si>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</si>
  <si>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</si>
  <si>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</si>
  <si>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</si>
  <si>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</si>
  <si>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</si>
  <si>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</si>
  <si>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</si>
  <si>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</si>
  <si>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</si>
  <si>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</si>
  <si>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</si>
  <si>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</si>
  <si>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</si>
  <si>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</si>
  <si>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</si>
  <si>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</si>
  <si>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</si>
  <si>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</si>
  <si>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</si>
  <si>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</si>
  <si>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</si>
  <si>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</si>
  <si>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</si>
  <si>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</si>
  <si>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</si>
  <si>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</si>
  <si>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</si>
  <si>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</si>
  <si>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</si>
  <si>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</si>
  <si>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</si>
  <si>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</si>
  <si>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</si>
  <si>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</si>
  <si>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</si>
  <si>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</si>
  <si>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</si>
  <si>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</si>
  <si>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</si>
  <si>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</si>
  <si>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</si>
  <si>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</si>
  <si>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</si>
  <si>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</si>
  <si>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</si>
  <si>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</si>
  <si>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</si>
  <si>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</si>
  <si>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</si>
  <si>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</si>
  <si>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</si>
  <si>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</si>
  <si>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</si>
  <si>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</si>
  <si>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</si>
  <si>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</si>
  <si>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</si>
  <si>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</si>
  <si>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</si>
  <si>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</si>
  <si>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</si>
  <si>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</si>
  <si>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</si>
  <si>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</si>
  <si>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</si>
  <si>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</si>
  <si>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</si>
  <si>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</si>
  <si>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</si>
  <si>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</si>
  <si>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</si>
  <si>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</si>
  <si>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</si>
  <si>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</si>
  <si>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</si>
  <si>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</si>
  <si>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</si>
  <si>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</si>
  <si>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</si>
  <si>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</si>
  <si>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</si>
  <si>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</si>
  <si>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</si>
  <si>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</si>
  <si>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</si>
  <si>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</si>
  <si>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</si>
  <si>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</si>
  <si>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</si>
  <si>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</si>
  <si>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</si>
  <si>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</si>
  <si>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</si>
  <si>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</si>
  <si>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</si>
  <si>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</si>
  <si>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</si>
  <si>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</si>
  <si>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</si>
  <si>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</si>
  <si>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</si>
  <si>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</si>
  <si>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</si>
  <si>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</si>
  <si>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</si>
  <si>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</si>
  <si>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</si>
  <si>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</si>
  <si>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</si>
  <si>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</si>
  <si>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</si>
  <si>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</si>
  <si>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</si>
  <si>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</si>
  <si>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</si>
  <si>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</si>
  <si>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</si>
  <si>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</si>
  <si>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</si>
  <si>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</si>
  <si>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</si>
  <si>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</si>
  <si>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</si>
  <si>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</si>
  <si>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</si>
  <si>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</si>
  <si>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</si>
  <si>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</si>
  <si>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</si>
  <si>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</si>
  <si>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</si>
  <si>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</si>
  <si>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</si>
  <si>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</si>
  <si>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</si>
  <si>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</si>
  <si>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</si>
  <si>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</si>
  <si>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</si>
  <si>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</si>
  <si>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</si>
  <si>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</si>
  <si>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</si>
  <si>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</si>
  <si>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</si>
  <si>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</si>
  <si>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</si>
  <si>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</si>
  <si>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</si>
  <si>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</si>
  <si>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</si>
  <si>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</si>
  <si>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</si>
  <si>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</si>
  <si>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</si>
  <si>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</si>
  <si>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</si>
  <si>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</si>
  <si>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</si>
  <si>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</si>
  <si>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</si>
  <si>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</si>
  <si>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</si>
  <si>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</si>
  <si>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</si>
  <si>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</si>
  <si>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</si>
  <si>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</si>
  <si>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</si>
  <si>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</si>
  <si>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</si>
  <si>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</si>
  <si>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</si>
  <si>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</si>
  <si>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</si>
  <si>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</si>
  <si>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</si>
  <si>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</si>
  <si>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</si>
  <si>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</si>
  <si>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</si>
  <si>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</si>
  <si>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</si>
  <si>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</si>
  <si>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</si>
  <si>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</si>
  <si>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</si>
  <si>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</si>
  <si>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</si>
  <si>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</si>
  <si>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</si>
  <si>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</si>
  <si>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</si>
  <si>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</si>
  <si>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</si>
  <si>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</si>
  <si>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</si>
  <si>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</si>
  <si>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</si>
  <si>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</si>
  <si>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</si>
  <si>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</si>
  <si>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</si>
  <si>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</si>
  <si>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</si>
  <si>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</si>
  <si>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</si>
  <si>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</si>
  <si>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</si>
  <si>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</si>
  <si>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</si>
  <si>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</si>
  <si>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</si>
  <si>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</si>
  <si>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</si>
  <si>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</si>
  <si>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</si>
  <si>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</si>
  <si>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</si>
  <si>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</si>
  <si>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</si>
  <si>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</si>
  <si>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</si>
  <si>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</si>
  <si>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</si>
  <si>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</si>
  <si>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</si>
  <si>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</si>
  <si>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</si>
  <si>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</si>
  <si>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</si>
  <si>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</si>
  <si>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</si>
  <si>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</si>
  <si>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</si>
  <si>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</si>
  <si>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</si>
  <si>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</si>
  <si>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</si>
  <si>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</si>
  <si>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</si>
  <si>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</si>
  <si>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</si>
  <si>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</si>
  <si>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</si>
  <si>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</si>
  <si>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</si>
  <si>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</si>
  <si>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</si>
  <si>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</si>
  <si>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</si>
  <si>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</si>
  <si>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</si>
  <si>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</si>
  <si>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</si>
  <si>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</si>
  <si>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</si>
  <si>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</si>
  <si>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</si>
  <si>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</si>
  <si>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</si>
  <si>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</si>
  <si>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</si>
  <si>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</si>
  <si>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</si>
  <si>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</si>
  <si>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</si>
  <si>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</si>
  <si>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</si>
  <si>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</si>
  <si>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</si>
  <si>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</si>
  <si>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</si>
  <si>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</si>
  <si>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</si>
  <si>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</si>
  <si>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</si>
  <si>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</si>
  <si>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</si>
  <si>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</si>
  <si>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</si>
  <si>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</si>
  <si>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</si>
  <si>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</si>
  <si>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</si>
  <si>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</si>
  <si>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</si>
  <si>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</si>
  <si>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</si>
  <si>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</si>
  <si>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</si>
  <si>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</si>
  <si>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</si>
  <si>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</si>
  <si>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</si>
  <si>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</si>
  <si>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</si>
  <si>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</si>
  <si>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</si>
  <si>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</si>
  <si>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</si>
  <si>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</si>
  <si>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</si>
  <si>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</si>
  <si>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</si>
  <si>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</si>
  <si>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</si>
  <si>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</si>
  <si>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</si>
  <si>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</si>
  <si>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</si>
  <si>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</si>
  <si>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</si>
  <si>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</si>
  <si>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</si>
  <si>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</si>
  <si>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</si>
  <si>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</si>
  <si>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</si>
  <si>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</si>
  <si>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</si>
  <si>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</si>
  <si>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</si>
  <si>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</si>
  <si>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</si>
  <si>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</si>
  <si>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</si>
  <si>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</si>
  <si>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</si>
  <si>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</si>
  <si>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</si>
  <si>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</si>
  <si>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</si>
  <si>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</si>
  <si>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</si>
  <si>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</si>
  <si>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</si>
  <si>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</si>
  <si>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</si>
  <si>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</si>
  <si>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</si>
  <si>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</si>
  <si>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</si>
  <si>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</si>
  <si>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</si>
  <si>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</si>
  <si>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</si>
  <si>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</si>
  <si>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</si>
  <si>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</si>
  <si>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</si>
  <si>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</si>
  <si>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</si>
  <si>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</si>
  <si>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</si>
  <si>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</si>
  <si>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</si>
  <si>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</si>
  <si>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</si>
  <si>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</si>
  <si>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</si>
  <si>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</si>
  <si>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</si>
  <si>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</si>
  <si>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</si>
  <si>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</si>
  <si>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</si>
  <si>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</si>
  <si>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</si>
  <si>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</si>
  <si>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</si>
  <si>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</si>
  <si>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</si>
  <si>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</si>
  <si>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</si>
  <si>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</si>
  <si>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</si>
  <si>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</si>
  <si>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</si>
  <si>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</si>
  <si>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</si>
  <si>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</si>
  <si>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</si>
  <si>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</si>
  <si>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</si>
  <si>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</si>
  <si>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</si>
  <si>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</si>
  <si>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</si>
  <si>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</si>
  <si>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</si>
  <si>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</si>
  <si>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</si>
  <si>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</si>
  <si>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</si>
  <si>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</si>
  <si>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</si>
  <si>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</si>
  <si>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</si>
  <si>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</si>
  <si>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</si>
  <si>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</si>
  <si>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</si>
  <si>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</si>
  <si>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</si>
  <si>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</si>
  <si>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</si>
  <si>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</si>
  <si>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</si>
  <si>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</si>
  <si>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</si>
  <si>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</si>
  <si>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</si>
  <si>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</si>
  <si>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</si>
  <si>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</si>
  <si>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</si>
  <si>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</si>
  <si>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</si>
  <si>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</si>
  <si>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</si>
  <si>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</si>
  <si>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</si>
  <si>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</si>
  <si>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</si>
  <si>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</si>
  <si>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</si>
  <si>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</si>
  <si>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</si>
  <si>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</si>
  <si>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</si>
  <si>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</si>
  <si>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</si>
  <si>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</si>
  <si>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</si>
  <si>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</si>
  <si>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</si>
  <si>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</si>
  <si>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</si>
  <si>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</si>
  <si>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</si>
  <si>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</si>
  <si>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</si>
  <si>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</si>
  <si>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</si>
  <si>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</si>
  <si>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</si>
  <si>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</si>
  <si>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</si>
  <si>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</si>
  <si>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</si>
  <si>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</si>
  <si>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</si>
  <si>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</si>
  <si>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</si>
  <si>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</si>
  <si>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</si>
  <si>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</si>
  <si>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</si>
  <si>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</si>
  <si>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</si>
  <si>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</si>
  <si>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</si>
  <si>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</si>
  <si>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</si>
  <si>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</si>
  <si>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</si>
  <si>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</si>
  <si>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</si>
  <si>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</si>
  <si>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</si>
  <si>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</si>
  <si>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</si>
  <si>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</si>
  <si>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</si>
  <si>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</si>
  <si>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</si>
  <si>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</si>
  <si>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</si>
  <si>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</si>
  <si>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</si>
  <si>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</si>
  <si>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</si>
  <si>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</si>
  <si>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</si>
  <si>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</si>
  <si>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</si>
  <si>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</si>
  <si>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</si>
  <si>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</si>
  <si>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</si>
  <si>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</si>
  <si>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</si>
  <si>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</si>
  <si>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</si>
  <si>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</si>
  <si>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</si>
  <si>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</si>
  <si>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</si>
  <si>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</si>
  <si>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</si>
  <si>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</si>
  <si>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</si>
  <si>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</si>
  <si>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</si>
  <si>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</si>
  <si>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</si>
  <si>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</si>
  <si>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</si>
  <si>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</si>
  <si>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</si>
  <si>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</si>
  <si>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</si>
  <si>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</si>
  <si>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</si>
  <si>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</si>
  <si>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</si>
  <si>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</si>
  <si>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</si>
  <si>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</si>
  <si>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</si>
  <si>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</si>
  <si>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</si>
  <si>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</si>
  <si>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</si>
  <si>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</si>
  <si>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</si>
  <si>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</si>
  <si>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</si>
  <si>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</si>
  <si>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</si>
  <si>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</si>
  <si>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</si>
  <si>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</si>
  <si>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</si>
  <si>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</si>
  <si>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</si>
  <si>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</si>
  <si>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</si>
  <si>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</si>
  <si>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</si>
  <si>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</si>
  <si>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</si>
  <si>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</si>
  <si>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</si>
  <si>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</si>
  <si>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</si>
  <si>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</si>
  <si>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</si>
  <si>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</si>
  <si>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</si>
  <si>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</si>
  <si>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</si>
  <si>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</si>
  <si>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</si>
  <si>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</si>
  <si>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</si>
  <si>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</si>
  <si>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</si>
  <si>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</si>
  <si>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</si>
  <si>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</si>
  <si>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</si>
  <si>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</si>
  <si>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</si>
  <si>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</si>
  <si>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</si>
  <si>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</si>
  <si>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</si>
  <si>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</si>
  <si>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</si>
  <si>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</si>
  <si>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</si>
  <si>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</si>
  <si>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</si>
  <si>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</si>
  <si>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</si>
  <si>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</si>
  <si>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</si>
  <si>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</si>
  <si>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</si>
  <si>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</si>
  <si>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</si>
  <si>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</si>
  <si>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</si>
  <si>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</si>
  <si>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</si>
  <si>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</si>
  <si>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</si>
  <si>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</si>
  <si>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</si>
  <si>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</si>
  <si>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</si>
  <si>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</si>
  <si>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</si>
  <si>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</si>
  <si>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</si>
  <si>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</si>
  <si>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</si>
  <si>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</si>
  <si>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</si>
  <si>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</si>
  <si>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</si>
  <si>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</si>
  <si>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</si>
  <si>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</si>
  <si>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</si>
  <si>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</si>
  <si>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</si>
  <si>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</si>
  <si>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</si>
  <si>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</si>
  <si>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</si>
  <si>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</si>
  <si>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</si>
  <si>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</si>
  <si>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</si>
  <si>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</si>
  <si>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</si>
  <si>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</si>
  <si>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</si>
  <si>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</si>
  <si>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</si>
  <si>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</si>
  <si>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</si>
  <si>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</si>
  <si>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</si>
  <si>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</si>
  <si>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</si>
  <si>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</si>
  <si>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</si>
  <si>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</si>
  <si>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</si>
  <si>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</si>
  <si>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</si>
  <si>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</si>
  <si>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</si>
  <si>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</si>
  <si>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</si>
  <si>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</si>
  <si>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</si>
  <si>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</si>
  <si>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</si>
  <si>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</si>
  <si>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</si>
  <si>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</si>
  <si>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</si>
  <si>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</si>
  <si>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</si>
  <si>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</si>
  <si>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</si>
  <si>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</si>
  <si>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</si>
  <si>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</si>
  <si>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</si>
  <si>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</si>
  <si>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</si>
  <si>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</si>
  <si>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</si>
  <si>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</si>
  <si>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</si>
  <si>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</si>
  <si>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</si>
  <si>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</si>
  <si>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</si>
  <si>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</si>
  <si>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</si>
  <si>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</si>
  <si>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</si>
  <si>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</si>
  <si>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</si>
  <si>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</si>
  <si>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</si>
  <si>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</si>
  <si>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</si>
  <si>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</si>
  <si>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</si>
  <si>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</si>
  <si>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</si>
  <si>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</si>
  <si>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</si>
  <si>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</si>
  <si>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</si>
  <si>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</si>
  <si>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</si>
  <si>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</si>
  <si>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</si>
  <si>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</si>
  <si>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</si>
  <si>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</si>
  <si>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</si>
  <si>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</si>
  <si>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</si>
  <si>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</si>
  <si>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</si>
  <si>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</si>
  <si>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</si>
  <si>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</si>
  <si>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</si>
  <si>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</si>
  <si>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</si>
  <si>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</si>
  <si>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</si>
  <si>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</si>
  <si>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</si>
  <si>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</si>
  <si>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</si>
  <si>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</si>
  <si>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</si>
  <si>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</si>
  <si>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</si>
  <si>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</si>
  <si>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</si>
  <si>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</si>
  <si>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</si>
  <si>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</si>
  <si>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</si>
  <si>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</si>
  <si>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</si>
  <si>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</si>
  <si>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</si>
  <si>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</si>
  <si>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</si>
  <si>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</si>
  <si>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</si>
  <si>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</si>
  <si>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</si>
  <si>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</si>
  <si>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</si>
  <si>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</si>
  <si>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</si>
  <si>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</si>
  <si>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</si>
  <si>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</si>
  <si>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</si>
  <si>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</si>
  <si>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</si>
  <si>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</si>
  <si>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</si>
  <si>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</si>
  <si>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</si>
  <si>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</si>
  <si>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</si>
  <si>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</si>
  <si>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</si>
  <si>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</si>
  <si>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</si>
  <si>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</si>
  <si>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</si>
  <si>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</si>
  <si>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</si>
  <si>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</si>
  <si>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</si>
  <si>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</si>
  <si>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</si>
  <si>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</si>
  <si>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</si>
  <si>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</si>
  <si>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</si>
  <si>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</si>
  <si>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</si>
  <si>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</si>
  <si>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</si>
  <si>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</si>
  <si>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</si>
  <si>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</si>
  <si>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</si>
  <si>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</si>
  <si>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</si>
  <si>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</si>
  <si>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</si>
  <si>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</si>
  <si>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</si>
  <si>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</si>
  <si>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</si>
  <si>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</si>
  <si>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</si>
  <si>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</si>
  <si>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</si>
  <si>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</si>
  <si>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</si>
  <si>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</si>
  <si>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</si>
  <si>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</si>
  <si>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</si>
  <si>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</si>
  <si>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</si>
  <si>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</si>
  <si>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</si>
  <si>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</si>
  <si>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</si>
  <si>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</si>
  <si>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</si>
  <si>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</si>
  <si>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</si>
  <si>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</si>
  <si>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</si>
  <si>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</si>
  <si>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</si>
  <si>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</si>
  <si>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</si>
  <si>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</si>
  <si>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</si>
  <si>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</si>
  <si>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</si>
  <si>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</si>
  <si>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</si>
  <si>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</si>
  <si>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</si>
  <si>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</si>
  <si>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</si>
  <si>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</si>
  <si>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</si>
  <si>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</si>
  <si>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</si>
  <si>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</si>
  <si>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</si>
  <si>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</si>
  <si>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</si>
  <si>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</si>
  <si>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</si>
  <si>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</si>
  <si>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</si>
  <si>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</si>
  <si>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</si>
  <si>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</si>
  <si>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</si>
  <si>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</si>
  <si>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</si>
  <si>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</si>
  <si>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</si>
  <si>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</si>
  <si>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</si>
  <si>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</si>
  <si>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</si>
  <si>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</si>
  <si>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</si>
  <si>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</si>
  <si>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</si>
  <si>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</si>
  <si>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</si>
  <si>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</si>
  <si>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</si>
  <si>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</si>
  <si>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</si>
  <si>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</si>
  <si>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</si>
  <si>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</si>
  <si>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</si>
  <si>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</si>
  <si>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</si>
  <si>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</si>
  <si>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</si>
  <si>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</si>
  <si>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</si>
  <si>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</si>
  <si>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</si>
  <si>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</si>
  <si>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</si>
  <si>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</si>
  <si>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</si>
  <si>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</si>
  <si>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</si>
  <si>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</si>
  <si>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</si>
  <si>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</si>
  <si>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</si>
  <si>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</si>
  <si>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</si>
  <si>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</si>
  <si>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</si>
  <si>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</si>
  <si>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</si>
  <si>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</si>
  <si>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</si>
  <si>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</si>
  <si>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</si>
  <si>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</si>
  <si>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</si>
  <si>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</si>
  <si>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</si>
  <si>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</si>
  <si>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</si>
  <si>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</si>
  <si>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</si>
  <si>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</si>
  <si>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</si>
  <si>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</si>
  <si>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</si>
  <si>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</si>
  <si>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</si>
  <si>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</si>
  <si>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</si>
  <si>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</si>
  <si>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</si>
  <si>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</si>
  <si>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</si>
  <si>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</si>
  <si>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</si>
  <si>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</si>
  <si>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</si>
  <si>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</si>
  <si>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</si>
  <si>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</si>
  <si>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</si>
  <si>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</si>
  <si>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</si>
  <si>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</si>
  <si>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</si>
  <si>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</si>
  <si>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</si>
  <si>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</si>
  <si>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</si>
  <si>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</si>
  <si>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</si>
  <si>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</si>
  <si>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</si>
  <si>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</si>
  <si>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</si>
  <si>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</si>
  <si>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</si>
  <si>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</si>
  <si>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</si>
  <si>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</si>
  <si>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</si>
  <si>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</si>
  <si>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</si>
  <si>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</si>
  <si>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</si>
  <si>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</si>
  <si>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</si>
  <si>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</si>
  <si>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</si>
  <si>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</si>
  <si>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</si>
  <si>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</si>
  <si>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</si>
  <si>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</si>
  <si>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</si>
  <si>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</si>
  <si>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</si>
  <si>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</si>
  <si>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</si>
  <si>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</si>
  <si>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</si>
  <si>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</si>
  <si>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</si>
  <si>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</si>
  <si>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</si>
  <si>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</si>
  <si>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</si>
  <si>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</si>
  <si>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</si>
  <si>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</si>
  <si>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</si>
  <si>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</si>
  <si>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</si>
  <si>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</si>
  <si>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</si>
  <si>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</si>
  <si>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</si>
  <si>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</si>
  <si>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</si>
  <si>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</si>
  <si>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</si>
  <si>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</si>
  <si>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</si>
  <si>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</si>
  <si>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</si>
  <si>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</si>
  <si>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</si>
  <si>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</si>
  <si>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</si>
  <si>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</si>
  <si>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</si>
  <si>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</si>
  <si>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</si>
  <si>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</si>
  <si>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</si>
  <si>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</si>
  <si>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</si>
  <si>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</si>
  <si>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</si>
  <si>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</si>
  <si>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</si>
  <si>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</si>
  <si>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</si>
  <si>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</si>
  <si>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</si>
  <si>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</si>
  <si>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</si>
  <si>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</si>
  <si>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</si>
  <si>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</si>
  <si>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</si>
  <si>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</si>
  <si>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</si>
  <si>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</si>
  <si>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</si>
  <si>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</si>
  <si>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</si>
  <si>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</si>
  <si>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</si>
  <si>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</si>
  <si>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</si>
  <si>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</si>
  <si>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</si>
  <si>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</si>
  <si>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</si>
  <si>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</si>
  <si>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</si>
  <si>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</si>
  <si>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</si>
  <si>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</si>
  <si>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</si>
  <si>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</si>
  <si>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</si>
  <si>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</si>
  <si>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</si>
  <si>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</si>
  <si>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</si>
  <si>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</si>
  <si>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</si>
  <si>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</si>
  <si>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</si>
  <si>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</si>
  <si>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</si>
  <si>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</si>
  <si>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</si>
  <si>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</si>
  <si>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</si>
  <si>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</si>
  <si>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</si>
  <si>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</si>
  <si>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</si>
  <si>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</si>
  <si>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</si>
  <si>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</si>
  <si>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</si>
  <si>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</si>
  <si>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</si>
  <si>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</si>
  <si>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</si>
  <si>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</si>
  <si>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</si>
  <si>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</si>
  <si>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</si>
  <si>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</si>
  <si>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</si>
  <si>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</si>
  <si>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</si>
  <si>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</si>
  <si>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</si>
  <si>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</si>
  <si>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</si>
  <si>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</si>
  <si>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</si>
  <si>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</si>
  <si>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</si>
  <si>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</si>
  <si>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</si>
  <si>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</si>
  <si>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</si>
  <si>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</si>
  <si>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</si>
  <si>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</si>
  <si>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</si>
  <si>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</si>
  <si>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</si>
  <si>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</si>
  <si>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</si>
  <si>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</si>
  <si>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</si>
  <si>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</si>
  <si>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</si>
  <si>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</si>
  <si>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</si>
  <si>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</si>
  <si>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</si>
  <si>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</si>
  <si>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</si>
  <si>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</si>
  <si>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</si>
  <si>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</si>
  <si>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</si>
  <si>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</si>
  <si>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</si>
  <si>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</si>
  <si>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</si>
  <si>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</si>
  <si>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</si>
  <si>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</si>
  <si>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</si>
  <si>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</si>
  <si>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</si>
  <si>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</si>
  <si>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</si>
  <si>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</si>
  <si>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</si>
  <si>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</si>
  <si>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</si>
  <si>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</si>
  <si>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</si>
  <si>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</si>
  <si>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</si>
  <si>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</si>
  <si>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</si>
  <si>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</si>
  <si>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</si>
  <si>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</si>
  <si>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</si>
  <si>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</si>
  <si>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</si>
  <si>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</si>
  <si>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</si>
  <si>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</si>
  <si>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</si>
  <si>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</si>
  <si>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</si>
  <si>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</si>
  <si>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</si>
  <si>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</si>
  <si>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</si>
  <si>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</si>
  <si>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</si>
  <si>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</si>
  <si>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</si>
  <si>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</si>
  <si>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</si>
  <si>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</si>
  <si>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</si>
  <si>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</si>
  <si>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</si>
  <si>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</si>
  <si>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</si>
  <si>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</si>
  <si>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</si>
  <si>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</si>
  <si>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</si>
  <si>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</si>
  <si>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</si>
  <si>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</si>
  <si>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</si>
  <si>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</si>
  <si>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</si>
  <si>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</si>
  <si>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</si>
  <si>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</si>
  <si>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</si>
  <si>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</si>
  <si>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</si>
  <si>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</si>
  <si>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</si>
  <si>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</si>
  <si>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</si>
  <si>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</si>
  <si>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</si>
  <si>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</si>
  <si>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</si>
  <si>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</si>
  <si>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</si>
  <si>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</si>
  <si>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</si>
  <si>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</si>
  <si>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</si>
  <si>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</si>
  <si>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</si>
  <si>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</si>
  <si>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</si>
  <si>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</si>
  <si>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</si>
  <si>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</si>
  <si>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</si>
  <si>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</si>
  <si>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</si>
  <si>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</si>
  <si>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</si>
  <si>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</si>
  <si>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</si>
  <si>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</si>
  <si>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</si>
  <si>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</si>
  <si>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</si>
  <si>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</si>
  <si>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</si>
  <si>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</si>
  <si>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</si>
  <si>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</si>
  <si>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</si>
  <si>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</si>
  <si>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</si>
  <si>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</si>
  <si>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</si>
  <si>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</si>
  <si>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</si>
  <si>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</si>
  <si>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</si>
  <si>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</si>
  <si>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</si>
  <si>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</si>
  <si>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</si>
  <si>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</si>
  <si>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</si>
  <si>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</si>
  <si>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</si>
  <si>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</si>
  <si>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</si>
  <si>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</si>
  <si>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</si>
  <si>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</si>
  <si>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</si>
  <si>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</si>
  <si>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</si>
  <si>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</si>
  <si>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</si>
  <si>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</si>
  <si>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</si>
  <si>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</si>
  <si>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</si>
  <si>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</si>
  <si>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</si>
  <si>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</si>
  <si>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</si>
  <si>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</si>
  <si>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</si>
  <si>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</si>
  <si>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</si>
  <si>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</si>
  <si>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</si>
  <si>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</si>
  <si>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</si>
  <si>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</si>
  <si>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</si>
  <si>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</si>
  <si>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</si>
  <si>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</si>
  <si>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</si>
  <si>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</si>
  <si>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</si>
  <si>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</si>
  <si>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</si>
  <si>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</si>
  <si>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</si>
  <si>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</si>
  <si>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</si>
  <si>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</si>
  <si>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</si>
  <si>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</si>
  <si>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</si>
  <si>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</si>
  <si>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</si>
  <si>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</si>
  <si>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</si>
  <si>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</si>
  <si>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</si>
  <si>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</si>
  <si>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</si>
  <si>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</si>
  <si>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</si>
  <si>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</si>
  <si>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</si>
  <si>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</si>
  <si>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</si>
  <si>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</si>
  <si>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</si>
  <si>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</si>
  <si>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</si>
  <si>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</si>
  <si>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</si>
  <si>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</si>
  <si>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</si>
  <si>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</si>
  <si>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</si>
  <si>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</si>
  <si>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</si>
  <si>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</si>
  <si>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</si>
  <si>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</si>
  <si>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</si>
  <si>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</si>
  <si>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</si>
  <si>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</si>
  <si>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</si>
  <si>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</si>
  <si>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</si>
  <si>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</si>
  <si>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</si>
  <si>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</si>
  <si>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</si>
  <si>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</si>
  <si>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</si>
  <si>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</si>
  <si>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</si>
  <si>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</si>
  <si>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</si>
  <si>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</si>
  <si>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</si>
  <si>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</si>
  <si>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</si>
  <si>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</si>
  <si>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</si>
  <si>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</si>
  <si>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</si>
  <si>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</si>
  <si>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</si>
  <si>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</si>
  <si>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</si>
  <si>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</si>
  <si>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</si>
  <si>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</si>
  <si>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</si>
  <si>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</si>
  <si>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</si>
  <si>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</si>
  <si>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</si>
  <si>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</si>
  <si>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</si>
  <si>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</si>
  <si>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</si>
  <si>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</si>
  <si>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</si>
  <si>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</si>
  <si>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</si>
  <si>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</si>
  <si>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</si>
  <si>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</si>
  <si>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</si>
  <si>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</si>
  <si>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</si>
  <si>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</si>
  <si>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</si>
  <si>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</si>
  <si>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</si>
  <si>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</si>
  <si>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</si>
  <si>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</si>
  <si>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</si>
  <si>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</si>
  <si>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</si>
  <si>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</si>
  <si>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</si>
  <si>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</si>
  <si>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</si>
  <si>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</si>
  <si>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</si>
  <si>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</si>
  <si>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</si>
  <si>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</si>
  <si>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</si>
  <si>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</si>
  <si>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</si>
  <si>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</si>
  <si>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</si>
  <si>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</si>
  <si>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</si>
  <si>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</si>
  <si>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</si>
  <si>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</si>
  <si>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</si>
  <si>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</si>
  <si>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</si>
  <si>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</si>
  <si>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</si>
  <si>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</si>
  <si>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</si>
  <si>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</si>
  <si>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</si>
  <si>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</si>
  <si>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</si>
  <si>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</si>
  <si>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</si>
  <si>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</si>
  <si>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</si>
  <si>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</si>
  <si>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</si>
  <si>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</si>
  <si>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</si>
  <si>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</si>
  <si>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</si>
  <si>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</si>
  <si>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</si>
  <si>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</si>
  <si>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</si>
  <si>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</si>
  <si>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</si>
  <si>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</si>
  <si>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</si>
  <si>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</si>
  <si>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</si>
  <si>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</si>
  <si>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</si>
  <si>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</si>
  <si>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</si>
  <si>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</si>
  <si>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</si>
  <si>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</si>
  <si>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</si>
  <si>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</si>
  <si>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</si>
  <si>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</si>
  <si>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</si>
  <si>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</si>
  <si>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</si>
  <si>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</si>
  <si>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</si>
  <si>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</si>
  <si>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</si>
  <si>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</si>
  <si>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</si>
  <si>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</si>
  <si>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</si>
  <si>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</si>
  <si>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</si>
  <si>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</si>
  <si>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</si>
  <si>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</si>
  <si>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</si>
  <si>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</si>
  <si>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</si>
  <si>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</si>
  <si>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</si>
  <si>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</si>
  <si>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</si>
  <si>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</si>
  <si>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</si>
  <si>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</si>
  <si>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</si>
  <si>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</si>
  <si>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</si>
  <si>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</si>
  <si>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</si>
  <si>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</si>
  <si>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</si>
  <si>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</si>
  <si>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</si>
  <si>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</si>
  <si>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</si>
  <si>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</si>
  <si>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</si>
  <si>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</si>
  <si>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</si>
  <si>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</si>
  <si>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</si>
  <si>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</si>
  <si>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</si>
  <si>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</si>
  <si>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</si>
  <si>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</si>
  <si>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</si>
  <si>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</si>
  <si>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</si>
  <si>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</si>
  <si>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</si>
  <si>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</si>
  <si>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</si>
  <si>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</si>
  <si>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</si>
  <si>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</si>
  <si>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</si>
  <si>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</si>
  <si>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</si>
  <si>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</si>
  <si>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</si>
  <si>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</si>
  <si>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</si>
  <si>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</si>
  <si>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</si>
  <si>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</si>
  <si>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</si>
  <si>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</si>
  <si>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</si>
  <si>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</si>
  <si>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</si>
  <si>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</si>
  <si>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</si>
  <si>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</si>
  <si>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</si>
  <si>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</si>
  <si>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</si>
  <si>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</si>
  <si>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</si>
  <si>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</si>
  <si>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</si>
  <si>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</si>
  <si>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</si>
  <si>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</si>
  <si>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</si>
  <si>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</si>
  <si>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</si>
  <si>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</si>
  <si>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</si>
  <si>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</si>
  <si>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</si>
  <si>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</si>
  <si>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</si>
  <si>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</si>
  <si>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</si>
  <si>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</si>
  <si>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</si>
  <si>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</si>
  <si>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</si>
  <si>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</si>
  <si>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</si>
  <si>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</si>
  <si>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</si>
  <si>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</si>
  <si>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</si>
  <si>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</si>
  <si>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</si>
  <si>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</si>
  <si>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</si>
  <si>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</si>
  <si>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</si>
  <si>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</si>
  <si>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</si>
  <si>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</si>
  <si>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</si>
  <si>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</si>
  <si>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</si>
  <si>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</si>
  <si>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</si>
  <si>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</si>
  <si>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</si>
  <si>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</si>
  <si>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</si>
  <si>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</si>
  <si>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</si>
  <si>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</si>
  <si>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</si>
  <si>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</si>
  <si>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</si>
  <si>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</si>
  <si>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</si>
  <si>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</si>
  <si>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</si>
  <si>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</si>
  <si>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</si>
  <si>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</si>
  <si>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</si>
  <si>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</si>
  <si>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</si>
  <si>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</si>
  <si>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</si>
  <si>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</si>
  <si>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</si>
  <si>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</si>
  <si>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</si>
  <si>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</si>
  <si>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</si>
  <si>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</si>
  <si>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</si>
  <si>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</si>
  <si>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</si>
  <si>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</si>
  <si>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</si>
  <si>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</si>
  <si>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</si>
  <si>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</si>
  <si>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</si>
  <si>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</si>
  <si>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</si>
  <si>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</si>
  <si>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</si>
  <si>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</si>
  <si>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</si>
  <si>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</si>
  <si>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</si>
  <si>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</si>
  <si>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</si>
  <si>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</si>
  <si>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</si>
  <si>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</si>
  <si>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</si>
  <si>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</si>
  <si>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</si>
  <si>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</si>
  <si>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</si>
  <si>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</si>
  <si>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</si>
  <si>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</si>
  <si>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</si>
  <si>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</si>
  <si>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</si>
  <si>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</si>
  <si>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</si>
  <si>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</si>
  <si>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</si>
  <si>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</si>
  <si>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</si>
  <si>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</si>
  <si>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</si>
  <si>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</si>
  <si>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</si>
  <si>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</si>
  <si>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</si>
  <si>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</si>
  <si>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</si>
  <si>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</si>
  <si>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</si>
  <si>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</si>
  <si>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</si>
  <si>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</si>
  <si>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</si>
  <si>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</si>
  <si>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</si>
  <si>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</si>
  <si>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</si>
  <si>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</si>
  <si>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</si>
  <si>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</si>
  <si>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</si>
  <si>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</si>
  <si>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</si>
  <si>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</si>
  <si>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</si>
  <si>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</si>
  <si>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</si>
  <si>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</si>
  <si>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</si>
  <si>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</si>
  <si>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</si>
  <si>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</si>
  <si>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</si>
  <si>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</si>
  <si>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</si>
  <si>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</si>
  <si>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</si>
  <si>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</si>
  <si>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</si>
  <si>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</si>
  <si>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</si>
  <si>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</si>
  <si>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</si>
  <si>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</si>
  <si>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</si>
  <si>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</si>
  <si>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</si>
  <si>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</si>
  <si>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</si>
  <si>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</si>
  <si>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</si>
  <si>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</si>
  <si>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</si>
  <si>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</si>
  <si>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</si>
  <si>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</si>
  <si>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</si>
  <si>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</si>
  <si>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</si>
  <si>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</si>
  <si>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</si>
  <si>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</si>
  <si>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</si>
  <si>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</si>
  <si>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</si>
  <si>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</si>
  <si>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</si>
  <si>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</si>
  <si>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</si>
  <si>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</si>
  <si>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</si>
  <si>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</si>
  <si>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</si>
  <si>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</si>
  <si>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</si>
  <si>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</si>
  <si>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</si>
  <si>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</si>
  <si>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</si>
  <si>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</si>
  <si>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</si>
  <si>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</si>
  <si>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</si>
  <si>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</si>
  <si>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</si>
  <si>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</si>
  <si>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</si>
  <si>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</si>
  <si>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</si>
  <si>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</si>
  <si>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</si>
  <si>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</si>
  <si>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</si>
  <si>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</si>
  <si>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</si>
  <si>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</si>
  <si>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</si>
  <si>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</si>
  <si>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</si>
  <si>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</si>
  <si>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</si>
  <si>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</si>
  <si>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</si>
  <si>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</si>
  <si>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</si>
  <si>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</si>
  <si>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</si>
  <si>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</si>
  <si>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</si>
  <si>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</si>
  <si>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</si>
  <si>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</si>
  <si>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</si>
  <si>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</si>
  <si>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</si>
  <si>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</si>
  <si>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</si>
  <si>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</si>
  <si>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</si>
  <si>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</si>
  <si>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</si>
  <si>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</si>
  <si>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</si>
  <si>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</si>
  <si>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</si>
  <si>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</si>
  <si>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</si>
  <si>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</si>
  <si>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</si>
  <si>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</si>
  <si>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</si>
  <si>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</si>
  <si>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</si>
  <si>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</si>
  <si>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</si>
  <si>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</si>
  <si>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</si>
  <si>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</si>
  <si>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</si>
  <si>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</si>
  <si>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</si>
  <si>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</si>
  <si>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</si>
  <si>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</si>
  <si>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</si>
  <si>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</si>
  <si>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</si>
  <si>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</si>
  <si>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</si>
  <si>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</si>
  <si>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</si>
  <si>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</si>
  <si>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</si>
  <si>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</si>
  <si>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</si>
  <si>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</si>
  <si>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</si>
  <si>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</si>
  <si>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</si>
  <si>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</si>
  <si>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</si>
  <si>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</si>
  <si>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</si>
  <si>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</si>
  <si>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</si>
  <si>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</si>
  <si>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</si>
  <si>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</si>
  <si>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</si>
  <si>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</si>
  <si>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</si>
  <si>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</si>
  <si>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</si>
  <si>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</si>
  <si>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</si>
  <si>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</si>
  <si>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</si>
  <si>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</si>
  <si>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</si>
  <si>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</si>
  <si>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</si>
  <si>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</si>
  <si>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</si>
  <si>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</si>
  <si>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</si>
  <si>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</si>
  <si>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</si>
  <si>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</si>
  <si>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</si>
  <si>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</si>
  <si>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</si>
  <si>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</si>
  <si>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</si>
  <si>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</si>
  <si>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</si>
  <si>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</si>
  <si>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</si>
  <si>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</si>
  <si>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</si>
  <si>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</si>
  <si>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</si>
  <si>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</si>
  <si>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</si>
  <si>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</si>
  <si>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</si>
  <si>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</si>
  <si>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</si>
  <si>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</si>
  <si>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</si>
  <si>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</si>
  <si>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</si>
  <si>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</si>
  <si>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</si>
  <si>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</si>
  <si>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</si>
  <si>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</si>
  <si>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</si>
  <si>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</si>
  <si>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</si>
  <si>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</si>
  <si>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</si>
  <si>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</si>
  <si>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</si>
  <si>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</si>
  <si>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</si>
  <si>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</si>
  <si>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</si>
  <si>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</si>
  <si>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</si>
  <si>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</si>
  <si>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</si>
  <si>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</si>
  <si>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</si>
  <si>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</si>
  <si>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</si>
  <si>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</si>
  <si>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</si>
  <si>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</si>
  <si>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</si>
  <si>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</si>
  <si>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</si>
  <si>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</si>
  <si>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</si>
  <si>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</si>
  <si>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</si>
  <si>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</si>
  <si>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</si>
  <si>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</si>
  <si>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</si>
  <si>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</si>
  <si>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</si>
  <si>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</si>
  <si>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</si>
  <si>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</si>
  <si>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</si>
  <si>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</si>
  <si>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</si>
  <si>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</si>
  <si>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</si>
  <si>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</si>
  <si>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</si>
  <si>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</si>
  <si>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</si>
  <si>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</si>
  <si>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</si>
  <si>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</si>
  <si>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</si>
  <si>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</si>
  <si>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</si>
  <si>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</si>
  <si>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</si>
  <si>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</si>
  <si>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</si>
  <si>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</si>
  <si>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</si>
  <si>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</si>
  <si>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</si>
  <si>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</si>
  <si>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</si>
  <si>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</si>
  <si>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</si>
  <si>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</si>
  <si>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</si>
  <si>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</si>
  <si>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</si>
  <si>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</si>
  <si>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</si>
  <si>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</si>
  <si>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</si>
  <si>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</si>
  <si>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</si>
  <si>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</si>
  <si>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</si>
  <si>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</si>
  <si>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</si>
  <si>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</si>
  <si>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</si>
  <si>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</si>
  <si>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</si>
  <si>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</si>
  <si>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</si>
  <si>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</si>
  <si>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</si>
  <si>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</si>
  <si>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</si>
  <si>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</si>
  <si>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</si>
  <si>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</si>
  <si>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</si>
  <si>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</si>
  <si>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</si>
  <si>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</si>
  <si>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</si>
  <si>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</si>
  <si>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</si>
  <si>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</si>
  <si>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</si>
  <si>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</si>
  <si>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</si>
  <si>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</si>
  <si>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</si>
  <si>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</si>
  <si>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</si>
  <si>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</si>
  <si>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</si>
  <si>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</si>
  <si>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</si>
  <si>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</si>
  <si>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</si>
  <si>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</si>
  <si>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</si>
  <si>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</si>
  <si>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</si>
  <si>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</si>
  <si>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</si>
  <si>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</si>
  <si>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</si>
  <si>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</si>
  <si>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</si>
  <si>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</si>
  <si>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</si>
  <si>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</si>
  <si>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</si>
  <si>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</si>
  <si>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</si>
  <si>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</si>
  <si>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</si>
  <si>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</si>
  <si>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</si>
  <si>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</si>
  <si>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</si>
  <si>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</si>
  <si>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</si>
  <si>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</si>
  <si>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</si>
  <si>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</si>
  <si>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</si>
  <si>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</si>
  <si>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</si>
  <si>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</si>
  <si>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</si>
  <si>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</si>
  <si>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</si>
  <si>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</si>
  <si>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</si>
  <si>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</si>
  <si>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</si>
  <si>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</si>
  <si>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</si>
  <si>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</si>
  <si>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</si>
  <si>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</si>
  <si>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</si>
  <si>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</si>
  <si>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</si>
  <si>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</si>
  <si>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</si>
  <si>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</si>
  <si>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</si>
  <si>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</si>
  <si>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</si>
  <si>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</si>
  <si>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</si>
  <si>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</si>
  <si>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</si>
  <si>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</si>
  <si>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</si>
  <si>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</si>
  <si>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</si>
  <si>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</si>
  <si>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</si>
  <si>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</si>
  <si>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</si>
  <si>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</si>
  <si>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</si>
  <si>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</si>
  <si>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</si>
  <si>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</si>
  <si>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</si>
  <si>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</si>
  <si>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</si>
  <si>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</si>
  <si>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</si>
  <si>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</si>
  <si>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</si>
  <si>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</si>
  <si>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</si>
  <si>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</si>
  <si>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</si>
  <si>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</si>
  <si>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</si>
  <si>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</si>
  <si>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</si>
  <si>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</si>
  <si>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</si>
  <si>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</si>
  <si>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</si>
  <si>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</si>
  <si>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</si>
  <si>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</si>
  <si>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</si>
  <si>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</si>
  <si>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</si>
  <si>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</si>
  <si>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</si>
  <si>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</si>
  <si>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</si>
  <si>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</si>
  <si>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</si>
  <si>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</si>
  <si>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</si>
  <si>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</si>
  <si>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</si>
  <si>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</si>
  <si>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</si>
  <si>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</si>
  <si>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</si>
  <si>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</si>
  <si>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</si>
  <si>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</si>
  <si>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</si>
  <si>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</si>
  <si>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</si>
  <si>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</si>
  <si>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</si>
  <si>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</si>
  <si>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</si>
  <si>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</si>
  <si>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</si>
  <si>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</si>
  <si>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</si>
  <si>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</si>
  <si>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</si>
  <si>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</si>
  <si>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</si>
  <si>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</si>
  <si>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</si>
  <si>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</si>
  <si>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</si>
  <si>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</si>
  <si>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</si>
  <si>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</si>
  <si>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</si>
  <si>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</si>
  <si>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</si>
  <si>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</si>
  <si>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</si>
  <si>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</si>
  <si>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</si>
  <si>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</si>
  <si>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</si>
  <si>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</si>
  <si>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</si>
  <si>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</si>
  <si>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</si>
  <si>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</si>
  <si>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</si>
  <si>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</si>
  <si>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</si>
  <si>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</si>
  <si>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</si>
  <si>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</si>
  <si>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</si>
  <si>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</si>
  <si>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</si>
  <si>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</si>
  <si>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</si>
  <si>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</si>
  <si>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</si>
  <si>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</si>
  <si>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</si>
  <si>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</si>
  <si>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</si>
  <si>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</si>
  <si>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</si>
  <si>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</si>
  <si>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</si>
  <si>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</si>
  <si>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</si>
  <si>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</si>
  <si>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</si>
  <si>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</si>
  <si>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</si>
  <si>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</si>
  <si>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</si>
  <si>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</si>
  <si>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</si>
  <si>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</si>
  <si>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</si>
  <si>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</si>
  <si>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</si>
  <si>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</si>
  <si>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</si>
  <si>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</si>
  <si>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</si>
  <si>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</si>
  <si>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</si>
  <si>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</si>
  <si>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</si>
  <si>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</si>
  <si>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</si>
  <si>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</si>
  <si>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</si>
  <si>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</si>
  <si>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</si>
  <si>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</si>
  <si>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</si>
  <si>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</si>
  <si>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</si>
  <si>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</si>
  <si>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</si>
  <si>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</si>
  <si>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</si>
  <si>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</si>
  <si>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</si>
  <si>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</si>
  <si>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</si>
  <si>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</si>
  <si>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</si>
  <si>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</si>
  <si>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</si>
  <si>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</si>
  <si>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</si>
  <si>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</si>
  <si>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</si>
  <si>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</si>
  <si>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</si>
  <si>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</si>
  <si>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</si>
  <si>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</si>
  <si>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</si>
  <si>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</si>
  <si>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</si>
  <si>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</si>
  <si>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</si>
  <si>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</si>
  <si>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</si>
  <si>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</si>
  <si>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</si>
  <si>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</si>
  <si>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</si>
  <si>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</si>
  <si>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</si>
  <si>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</si>
  <si>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</si>
  <si>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</si>
  <si>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</si>
  <si>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</si>
  <si>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</si>
  <si>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</si>
  <si>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</si>
  <si>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</si>
  <si>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</si>
  <si>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</si>
  <si>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</si>
  <si>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</si>
  <si>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</si>
  <si>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</si>
  <si>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</si>
  <si>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</si>
  <si>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</si>
  <si>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</si>
  <si>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</si>
  <si>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</si>
  <si>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</si>
  <si>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</si>
  <si>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</si>
  <si>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</si>
  <si>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</si>
  <si>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</si>
  <si>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</si>
  <si>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</si>
  <si>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</si>
  <si>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</si>
  <si>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</si>
  <si>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</si>
  <si>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</si>
  <si>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</si>
  <si>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</si>
  <si>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</si>
  <si>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</si>
  <si>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</si>
  <si>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</si>
  <si>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</si>
  <si>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</si>
  <si>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</si>
  <si>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</si>
  <si>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</si>
  <si>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</si>
  <si>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</si>
  <si>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</si>
  <si>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</si>
  <si>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</si>
  <si>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</si>
  <si>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</si>
  <si>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</si>
  <si>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</si>
  <si>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</si>
  <si>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</si>
  <si>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</si>
  <si>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</si>
  <si>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</si>
  <si>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</si>
  <si>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</si>
  <si>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</si>
  <si>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</si>
  <si>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</si>
  <si>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</si>
  <si>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</si>
  <si>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</si>
  <si>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</si>
  <si>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</si>
  <si>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</si>
  <si>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</si>
  <si>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</si>
  <si>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</si>
  <si>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</si>
  <si>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</si>
  <si>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</si>
  <si>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</si>
  <si>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</si>
  <si>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</si>
  <si>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</si>
  <si>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</si>
  <si>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</si>
  <si>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</si>
  <si>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</si>
  <si>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</si>
  <si>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</si>
  <si>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</si>
  <si>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</si>
  <si>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</si>
  <si>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</si>
  <si>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</si>
  <si>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</si>
  <si>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</si>
  <si>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</si>
  <si>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</si>
  <si>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</si>
  <si>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</si>
  <si>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</si>
  <si>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</si>
  <si>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</si>
  <si>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</si>
  <si>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</si>
  <si>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</si>
  <si>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</si>
  <si>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</si>
  <si>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</si>
  <si>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</si>
  <si>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</si>
  <si>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</si>
  <si>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</si>
  <si>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</si>
  <si>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</si>
  <si>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</si>
  <si>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</si>
  <si>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</si>
  <si>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</si>
  <si>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</si>
  <si>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</si>
  <si>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</si>
  <si>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</si>
  <si>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</si>
  <si>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</si>
  <si>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</si>
  <si>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</si>
  <si>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</si>
  <si>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</si>
  <si>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</si>
  <si>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</si>
  <si>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</si>
  <si>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</si>
  <si>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</si>
  <si>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</si>
  <si>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</si>
  <si>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</si>
  <si>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</si>
  <si>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</si>
  <si>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</si>
  <si>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</si>
  <si>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</si>
  <si>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</si>
  <si>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</si>
  <si>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</si>
  <si>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</si>
  <si>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</si>
  <si>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</si>
  <si>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</si>
  <si>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</si>
  <si>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</si>
  <si>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</si>
  <si>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</si>
  <si>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</si>
  <si>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</si>
  <si>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</si>
  <si>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</si>
  <si>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</si>
  <si>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</si>
  <si>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</si>
  <si>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</si>
  <si>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</si>
  <si>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</si>
  <si>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</si>
  <si>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</si>
  <si>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</si>
  <si>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</si>
  <si>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</si>
  <si>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</si>
  <si>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</si>
  <si>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</si>
  <si>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</si>
  <si>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</si>
  <si>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</si>
  <si>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</si>
  <si>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</si>
  <si>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</si>
  <si>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</si>
  <si>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</si>
  <si>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</si>
  <si>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</si>
  <si>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</si>
  <si>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</si>
  <si>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</si>
  <si>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</si>
  <si>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</si>
  <si>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</si>
  <si>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</si>
  <si>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</si>
  <si>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</si>
  <si>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</si>
  <si>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</si>
  <si>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</si>
  <si>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</si>
  <si>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</si>
  <si>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</si>
  <si>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</si>
  <si>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</si>
  <si>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</si>
  <si>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</si>
  <si>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</si>
  <si>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</si>
  <si>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</si>
  <si>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</si>
  <si>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</si>
  <si>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</si>
  <si>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</si>
  <si>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</si>
  <si>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</si>
  <si>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</si>
  <si>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</si>
  <si>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</si>
  <si>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</si>
  <si>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</si>
  <si>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</si>
  <si>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</si>
  <si>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</si>
  <si>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</si>
  <si>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</si>
  <si>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</si>
  <si>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</si>
  <si>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</si>
  <si>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</si>
  <si>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</si>
  <si>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</si>
  <si>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</si>
  <si>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</si>
  <si>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</si>
  <si>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</si>
  <si>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</si>
  <si>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</si>
  <si>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</si>
  <si>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</si>
  <si>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</si>
  <si>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</si>
  <si>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</si>
  <si>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</si>
  <si>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</si>
  <si>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</si>
  <si>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</si>
  <si>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</si>
  <si>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</si>
  <si>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</si>
  <si>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</si>
  <si>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</si>
  <si>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</si>
  <si>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</si>
  <si>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</si>
  <si>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</si>
  <si>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</si>
  <si>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</si>
  <si>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</si>
  <si>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</si>
  <si>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</si>
  <si>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</si>
  <si>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</si>
  <si>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</si>
  <si>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</si>
  <si>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</si>
  <si>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</si>
  <si>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</si>
  <si>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</si>
  <si>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</si>
  <si>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</si>
  <si>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</si>
  <si>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</si>
  <si>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</si>
  <si>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</si>
  <si>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</si>
  <si>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</si>
  <si>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</si>
  <si>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</si>
  <si>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</si>
  <si>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</si>
  <si>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</si>
  <si>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</si>
  <si>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</si>
  <si>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</si>
  <si>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</si>
  <si>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</si>
  <si>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</si>
  <si>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</si>
  <si>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</si>
  <si>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</si>
  <si>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</si>
  <si>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</si>
  <si>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</si>
  <si>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</si>
  <si>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</si>
  <si>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</si>
  <si>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</si>
  <si>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</si>
  <si>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</si>
  <si>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</si>
  <si>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</si>
  <si>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</si>
  <si>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</si>
  <si>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</si>
  <si>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</si>
  <si>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</si>
  <si>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</si>
  <si>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</si>
  <si>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</si>
  <si>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</si>
  <si>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</si>
  <si>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</si>
  <si>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</si>
  <si>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</si>
  <si>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</si>
  <si>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</si>
  <si>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</si>
  <si>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</si>
  <si>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</si>
  <si>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</si>
  <si>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</si>
  <si>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</si>
  <si>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</si>
  <si>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</si>
  <si>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</si>
  <si>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</si>
  <si>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</si>
  <si>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</si>
  <si>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</si>
  <si>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</si>
  <si>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</si>
  <si>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</si>
  <si>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</si>
  <si>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</si>
  <si>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</si>
  <si>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</si>
  <si>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</si>
  <si>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</si>
  <si>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</si>
  <si>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</si>
  <si>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</si>
  <si>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</si>
  <si>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</si>
  <si>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</si>
  <si>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</si>
  <si>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</si>
  <si>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</si>
  <si>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</si>
  <si>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</si>
  <si>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</si>
  <si>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</si>
  <si>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</si>
  <si>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</si>
  <si>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</si>
  <si>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</si>
  <si>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</si>
  <si>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</si>
  <si>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</si>
  <si>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</si>
  <si>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</si>
  <si>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</si>
  <si>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</si>
  <si>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</si>
  <si>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</si>
  <si>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</si>
  <si>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</si>
  <si>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</si>
  <si>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</si>
  <si>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</si>
  <si>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</si>
  <si>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</si>
  <si>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</si>
  <si>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</si>
  <si>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</si>
  <si>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</si>
  <si>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</si>
  <si>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</si>
  <si>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</si>
  <si>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</si>
  <si>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</si>
  <si>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</si>
  <si>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</si>
  <si>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</si>
  <si>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</si>
  <si>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</si>
  <si>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</si>
  <si>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</si>
  <si>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</si>
  <si>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</si>
  <si>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</si>
  <si>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</si>
  <si>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</si>
  <si>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</si>
  <si>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</si>
  <si>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</si>
  <si>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</si>
  <si>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</si>
  <si>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</si>
  <si>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</si>
  <si>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</si>
  <si>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</si>
  <si>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</si>
  <si>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</si>
  <si>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</si>
  <si>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</si>
  <si>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</si>
  <si>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</si>
  <si>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</si>
  <si>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</si>
  <si>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</si>
  <si>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</si>
  <si>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</si>
  <si>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</si>
  <si>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</si>
  <si>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</si>
  <si>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</si>
  <si>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</si>
  <si>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</si>
  <si>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</si>
  <si>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</si>
  <si>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</si>
  <si>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</si>
  <si>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</si>
  <si>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</si>
  <si>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</si>
  <si>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</si>
  <si>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</si>
  <si>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</si>
  <si>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</si>
  <si>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</si>
  <si>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</si>
  <si>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</si>
  <si>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</si>
  <si>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</si>
  <si>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</si>
  <si>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</si>
  <si>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</si>
  <si>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</si>
  <si>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</si>
  <si>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</si>
  <si>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</si>
  <si>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</si>
  <si>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</si>
  <si>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</si>
  <si>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</si>
  <si>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</si>
  <si>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</si>
  <si>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</si>
  <si>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</si>
  <si>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</si>
  <si>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</si>
  <si>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</si>
  <si>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</si>
  <si>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</si>
  <si>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</si>
  <si>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</si>
  <si>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</si>
  <si>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</si>
  <si>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</si>
  <si>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</si>
  <si>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</si>
  <si>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</si>
  <si>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</si>
  <si>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</si>
  <si>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</si>
  <si>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</si>
  <si>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</si>
  <si>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</si>
  <si>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</si>
  <si>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</si>
  <si>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</si>
  <si>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</si>
  <si>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</si>
  <si>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</si>
  <si>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</si>
  <si>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</si>
  <si>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</si>
  <si>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</si>
  <si>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</si>
  <si>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</si>
  <si>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</si>
  <si>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</si>
  <si>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</si>
  <si>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</si>
  <si>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</si>
  <si>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</si>
  <si>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</si>
  <si>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</si>
  <si>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</si>
  <si>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</si>
  <si>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</si>
  <si>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</si>
  <si>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</si>
  <si>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</si>
  <si>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</si>
  <si>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</si>
  <si>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</si>
  <si>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</si>
  <si>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</si>
  <si>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</si>
  <si>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</si>
  <si>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</si>
  <si>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</si>
  <si>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</si>
  <si>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</si>
  <si>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</si>
  <si>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</si>
  <si>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</si>
  <si>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</si>
  <si>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</si>
  <si>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</si>
  <si>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</si>
  <si>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</si>
  <si>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</si>
  <si>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</si>
  <si>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</si>
  <si>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</si>
  <si>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</si>
  <si>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</si>
  <si>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</si>
  <si>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</si>
  <si>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</si>
  <si>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</si>
  <si>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</si>
  <si>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</si>
  <si>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</si>
  <si>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</si>
  <si>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</si>
  <si>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</si>
  <si>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</si>
  <si>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</si>
  <si>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</si>
  <si>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</si>
  <si>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</si>
  <si>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</si>
  <si>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</si>
  <si>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</si>
  <si>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</si>
  <si>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</si>
  <si>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</si>
  <si>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</si>
  <si>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</si>
  <si>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</si>
  <si>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</si>
  <si>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</si>
  <si>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</si>
  <si>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</si>
  <si>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</si>
  <si>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</si>
  <si>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</si>
  <si>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</si>
  <si>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</si>
  <si>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</si>
  <si>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</si>
  <si>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</si>
  <si>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</si>
  <si>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</si>
  <si>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</si>
  <si>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</si>
  <si>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</si>
  <si>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</si>
  <si>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</si>
  <si>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</si>
  <si>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</si>
  <si>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</si>
  <si>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</si>
  <si>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</si>
  <si>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</si>
  <si>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</si>
  <si>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</si>
  <si>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</si>
  <si>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</si>
  <si>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</si>
  <si>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</si>
  <si>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</si>
  <si>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</si>
  <si>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</si>
  <si>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</si>
  <si>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</si>
  <si>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</si>
  <si>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</si>
  <si>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</si>
  <si>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</si>
  <si>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</si>
  <si>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</si>
  <si>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</si>
  <si>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</si>
  <si>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</si>
  <si>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</si>
  <si>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</si>
  <si>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</si>
  <si>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</si>
  <si>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</si>
  <si>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</si>
  <si>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</si>
  <si>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</si>
  <si>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</si>
  <si>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</si>
  <si>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</si>
  <si>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</si>
  <si>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</si>
  <si>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</si>
  <si>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</si>
  <si>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</si>
  <si>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</si>
  <si>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</si>
  <si>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</si>
  <si>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</si>
  <si>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</si>
  <si>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</si>
  <si>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</si>
  <si>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</si>
  <si>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</si>
  <si>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</si>
  <si>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</si>
  <si>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</si>
  <si>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</si>
  <si>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</si>
  <si>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</si>
  <si>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</si>
  <si>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</si>
  <si>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</si>
  <si>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</si>
  <si>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</si>
  <si>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</si>
  <si>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</si>
  <si>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</si>
  <si>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</si>
  <si>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</si>
  <si>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</si>
  <si>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</si>
  <si>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</si>
  <si>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</si>
  <si>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</si>
  <si>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</si>
  <si>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</si>
  <si>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</si>
  <si>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</si>
  <si>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</si>
  <si>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</si>
  <si>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</si>
  <si>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</si>
  <si>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</si>
  <si>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</si>
  <si>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</si>
  <si>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</si>
  <si>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</si>
  <si>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</si>
  <si>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</si>
  <si>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</si>
  <si>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</si>
  <si>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</si>
  <si>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</si>
  <si>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</si>
  <si>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</si>
  <si>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</si>
  <si>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</si>
  <si>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</si>
  <si>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</si>
  <si>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</si>
  <si>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</si>
  <si>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</si>
  <si>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</si>
  <si>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</si>
  <si>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</si>
  <si>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</si>
  <si>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</si>
  <si>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</si>
  <si>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</si>
  <si>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</si>
  <si>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</si>
  <si>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</si>
  <si>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</si>
  <si>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</si>
  <si>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</si>
  <si>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</si>
  <si>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</si>
  <si>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</si>
  <si>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</si>
  <si>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</si>
  <si>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</si>
  <si>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</si>
  <si>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</si>
  <si>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</si>
  <si>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</si>
  <si>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</si>
  <si>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</si>
  <si>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</si>
  <si>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</si>
  <si>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</si>
  <si>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</si>
  <si>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</si>
  <si>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</si>
  <si>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</si>
  <si>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</si>
  <si>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</si>
  <si>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</si>
  <si>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</si>
  <si>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</si>
  <si>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</si>
  <si>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</si>
  <si>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</si>
  <si>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</si>
  <si>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</si>
  <si>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</si>
  <si>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</si>
  <si>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</si>
  <si>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</si>
  <si>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</si>
  <si>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</si>
  <si>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</si>
  <si>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</si>
  <si>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</si>
  <si>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</si>
  <si>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</si>
  <si>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</si>
  <si>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</si>
  <si>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</si>
  <si>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</si>
  <si>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</si>
  <si>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</si>
  <si>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</si>
  <si>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</si>
  <si>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</si>
  <si>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</si>
  <si>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</si>
  <si>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</si>
  <si>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</si>
  <si>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</si>
  <si>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</si>
  <si>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</si>
  <si>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</si>
  <si>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</si>
  <si>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</si>
  <si>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</si>
  <si>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</si>
  <si>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</si>
  <si>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</si>
  <si>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</si>
  <si>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</si>
  <si>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</si>
  <si>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</si>
  <si>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</si>
  <si>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</si>
  <si>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</si>
  <si>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</si>
  <si>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</si>
  <si>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</si>
  <si>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</si>
  <si>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</si>
  <si>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</si>
  <si>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</si>
  <si>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</si>
  <si>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</si>
  <si>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</si>
  <si>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</si>
  <si>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</si>
  <si>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</si>
  <si>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</si>
  <si>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</si>
  <si>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</si>
  <si>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</si>
  <si>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</si>
  <si>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</si>
  <si>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</si>
  <si>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</si>
  <si>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</si>
  <si>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</si>
  <si>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</si>
  <si>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</si>
  <si>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</si>
  <si>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</si>
  <si>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</si>
  <si>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</si>
  <si>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</si>
  <si>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</si>
  <si>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</si>
  <si>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</si>
  <si>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</si>
  <si>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</si>
  <si>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</si>
  <si>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</si>
  <si>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</si>
  <si>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</si>
  <si>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</si>
  <si>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</si>
  <si>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</si>
  <si>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</si>
  <si>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</si>
  <si>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</si>
  <si>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</si>
  <si>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</si>
  <si>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</si>
  <si>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</si>
  <si>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</si>
  <si>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</si>
  <si>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</si>
  <si>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</si>
  <si>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</si>
  <si>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</si>
  <si>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</si>
  <si>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</si>
  <si>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</si>
  <si>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</si>
  <si>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</si>
  <si>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</si>
  <si>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</si>
  <si>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</si>
  <si>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</si>
  <si>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</si>
  <si>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</si>
  <si>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</si>
  <si>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</si>
  <si>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</si>
  <si>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</si>
  <si>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</si>
  <si>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</si>
  <si>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</si>
  <si>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</si>
  <si>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</si>
  <si>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</si>
  <si>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</si>
  <si>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</si>
  <si>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</si>
  <si>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</si>
  <si>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</si>
  <si>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</si>
  <si>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</si>
  <si>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</si>
  <si>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</si>
  <si>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</si>
  <si>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</si>
  <si>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</si>
  <si>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</si>
  <si>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</si>
  <si>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</si>
  <si>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</si>
  <si>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</si>
  <si>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</si>
  <si>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</si>
  <si>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</si>
  <si>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</si>
  <si>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</si>
  <si>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</si>
  <si>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</si>
  <si>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</si>
  <si>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</si>
  <si>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</si>
  <si>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</si>
  <si>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</si>
  <si>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</si>
  <si>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</si>
  <si>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</si>
  <si>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</si>
  <si>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</si>
  <si>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</si>
  <si>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</si>
  <si>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</si>
  <si>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</si>
  <si>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</si>
  <si>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</si>
  <si>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</si>
  <si>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</si>
  <si>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</si>
  <si>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</si>
  <si>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</si>
  <si>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</si>
  <si>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</si>
  <si>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</si>
  <si>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</si>
  <si>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</si>
  <si>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</si>
  <si>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</si>
  <si>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</si>
  <si>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</si>
  <si>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</si>
  <si>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</si>
  <si>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</si>
  <si>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</si>
  <si>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</si>
  <si>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</si>
  <si>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</si>
  <si>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</si>
  <si>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</si>
  <si>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</si>
  <si>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</si>
  <si>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</si>
  <si>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</si>
  <si>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</si>
  <si>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</si>
  <si>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</si>
  <si>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</si>
  <si>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</si>
  <si>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</si>
  <si>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</si>
  <si>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</si>
  <si>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</si>
  <si>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</si>
  <si>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</si>
  <si>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</si>
  <si>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</si>
  <si>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</si>
  <si>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</si>
  <si>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</si>
  <si>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</si>
  <si>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</si>
  <si>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</si>
  <si>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</si>
  <si>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</si>
  <si>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</si>
  <si>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</si>
  <si>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</si>
  <si>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</si>
  <si>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</si>
  <si>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</si>
  <si>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</si>
  <si>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</si>
  <si>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</si>
  <si>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</si>
  <si>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</si>
  <si>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</si>
  <si>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</si>
  <si>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</si>
  <si>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</si>
  <si>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</si>
  <si>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</si>
  <si>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</si>
  <si>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</si>
  <si>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</si>
  <si>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</si>
  <si>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</si>
  <si>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</si>
  <si>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</si>
  <si>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</si>
  <si>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</si>
  <si>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</si>
  <si>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</si>
  <si>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</si>
  <si>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</si>
  <si>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</si>
  <si>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</si>
  <si>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</si>
  <si>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</si>
  <si>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</si>
  <si>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</si>
  <si>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</si>
  <si>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</si>
  <si>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</si>
  <si>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</si>
  <si>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</si>
  <si>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</si>
  <si>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</si>
  <si>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</si>
  <si>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</si>
  <si>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</si>
  <si>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</si>
  <si>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</si>
  <si>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</si>
  <si>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</si>
  <si>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</si>
  <si>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</si>
  <si>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</si>
  <si>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</si>
  <si>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</si>
  <si>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</si>
  <si>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</si>
  <si>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</si>
  <si>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</si>
  <si>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</si>
  <si>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</si>
  <si>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</si>
  <si>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</si>
  <si>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</si>
  <si>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</si>
  <si>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</si>
  <si>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</si>
  <si>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</si>
  <si>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</si>
  <si>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</si>
  <si>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</si>
  <si>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</si>
  <si>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</si>
  <si>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</si>
  <si>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</si>
  <si>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</si>
  <si>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</si>
  <si>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</si>
  <si>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</si>
  <si>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</si>
  <si>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</si>
  <si>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</si>
  <si>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</si>
  <si>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</si>
  <si>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</si>
  <si>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</si>
  <si>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</si>
  <si>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</si>
  <si>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</si>
  <si>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</si>
  <si>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</si>
  <si>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</si>
  <si>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</si>
  <si>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</si>
  <si>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</si>
  <si>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</si>
  <si>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</si>
  <si>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</si>
  <si>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</si>
  <si>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</si>
  <si>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</si>
  <si>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</si>
  <si>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</si>
  <si>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</si>
  <si>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</si>
  <si>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</si>
  <si>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</si>
  <si>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</si>
  <si>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</si>
  <si>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</si>
  <si>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</si>
  <si>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</si>
  <si>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</si>
  <si>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</si>
  <si>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</si>
  <si>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</si>
  <si>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</si>
  <si>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</si>
  <si>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</si>
  <si>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</si>
  <si>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</si>
  <si>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</si>
  <si>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</si>
  <si>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</si>
  <si>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</si>
  <si>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</si>
  <si>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</si>
  <si>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</si>
  <si>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</si>
  <si>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</si>
  <si>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</si>
  <si>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</si>
  <si>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</si>
  <si>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</si>
  <si>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</si>
  <si>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</si>
  <si>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</si>
  <si>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</si>
  <si>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</si>
  <si>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</si>
  <si>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</si>
  <si>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</si>
  <si>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</si>
  <si>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</si>
  <si>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</si>
  <si>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</si>
  <si>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</si>
  <si>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</si>
  <si>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</si>
  <si>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</si>
  <si>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</si>
  <si>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</si>
  <si>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</si>
  <si>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</si>
  <si>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</si>
  <si>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</si>
  <si>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</si>
  <si>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</si>
  <si>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</si>
  <si>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</si>
  <si>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</si>
  <si>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</si>
  <si>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</si>
  <si>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</si>
  <si>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</si>
  <si>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</si>
  <si>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</si>
  <si>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</si>
  <si>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</si>
  <si>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</si>
  <si>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</si>
  <si>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</si>
  <si>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</si>
  <si>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</si>
  <si>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</si>
  <si>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</si>
  <si>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</si>
  <si>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</si>
  <si>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</si>
  <si>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</si>
  <si>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</si>
  <si>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</si>
  <si>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</si>
  <si>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</si>
  <si>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</si>
  <si>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</si>
  <si>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</si>
  <si>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</si>
  <si>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</si>
  <si>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</si>
  <si>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</si>
  <si>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</si>
  <si>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</si>
  <si>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</si>
  <si>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</si>
  <si>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</si>
  <si>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</si>
  <si>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</si>
  <si>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</si>
  <si>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</si>
  <si>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</si>
  <si>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</si>
  <si>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</si>
  <si>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</si>
  <si>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</si>
  <si>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</si>
  <si>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</si>
  <si>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</si>
  <si>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</si>
  <si>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</si>
  <si>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</si>
  <si>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</si>
  <si>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</si>
  <si>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</si>
  <si>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</si>
  <si>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</si>
  <si>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</si>
  <si>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</si>
  <si>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</si>
  <si>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</si>
  <si>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</si>
  <si>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</si>
  <si>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</si>
  <si>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</si>
  <si>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</si>
  <si>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</si>
  <si>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</si>
  <si>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</si>
  <si>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</si>
  <si>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</si>
  <si>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</si>
  <si>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</si>
  <si>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</si>
  <si>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</si>
  <si>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</si>
  <si>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</si>
  <si>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</si>
  <si>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</si>
  <si>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</si>
  <si>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</si>
  <si>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</si>
  <si>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</si>
  <si>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</si>
  <si>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</si>
  <si>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</si>
  <si>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</si>
  <si>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</si>
  <si>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</si>
  <si>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</si>
  <si>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</si>
  <si>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</si>
  <si>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</si>
  <si>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</si>
  <si>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</si>
  <si>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</si>
  <si>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</si>
  <si>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</si>
  <si>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</si>
  <si>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</si>
  <si>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</si>
  <si>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</si>
  <si>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</si>
  <si>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</si>
  <si>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</si>
  <si>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</si>
  <si>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</si>
  <si>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</si>
  <si>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</si>
  <si>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</si>
  <si>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</si>
  <si>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</si>
  <si>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</si>
  <si>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</si>
  <si>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</si>
  <si>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</si>
  <si>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</si>
  <si>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</si>
  <si>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</si>
  <si>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</si>
  <si>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</si>
  <si>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</si>
  <si>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</si>
  <si>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</si>
  <si>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</si>
  <si>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</si>
  <si>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</si>
  <si>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</si>
  <si>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</si>
  <si>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</si>
  <si>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</si>
  <si>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</si>
  <si>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</si>
  <si>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</si>
  <si>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</si>
  <si>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</si>
  <si>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</si>
  <si>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</si>
  <si>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</si>
  <si>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</si>
  <si>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</si>
  <si>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</si>
  <si>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</si>
  <si>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</si>
  <si>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</si>
  <si>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</si>
  <si>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</si>
  <si>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</si>
  <si>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</si>
  <si>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</si>
  <si>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</si>
  <si>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</si>
  <si>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</si>
  <si>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</si>
  <si>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</si>
  <si>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</si>
  <si>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</si>
  <si>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</si>
  <si>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</si>
  <si>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</si>
  <si>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</si>
  <si>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</si>
  <si>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</si>
  <si>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</si>
  <si>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</si>
  <si>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</si>
  <si>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</si>
  <si>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</si>
  <si>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</si>
  <si>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</si>
  <si>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</si>
  <si>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</si>
  <si>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</si>
  <si>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</si>
  <si>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</si>
  <si>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</si>
  <si>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</si>
  <si>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</si>
  <si>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</si>
  <si>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</si>
  <si>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</si>
  <si>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</si>
  <si>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</si>
  <si>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</si>
  <si>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</si>
  <si>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</si>
  <si>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</si>
  <si>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</si>
  <si>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</si>
  <si>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</si>
  <si>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</si>
  <si>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</si>
  <si>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</si>
  <si>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</si>
  <si>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</si>
  <si>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</si>
  <si>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</si>
  <si>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</si>
  <si>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</si>
  <si>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</si>
  <si>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</si>
  <si>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</si>
  <si>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</si>
  <si>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</si>
  <si>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</si>
  <si>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</si>
  <si>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</si>
  <si>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</si>
  <si>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</si>
  <si>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</si>
  <si>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</si>
  <si>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</si>
  <si>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</si>
  <si>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</si>
  <si>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</si>
  <si>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</si>
  <si>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</si>
  <si>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</si>
  <si>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</si>
  <si>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</si>
  <si>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</si>
  <si>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</si>
  <si>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</si>
  <si>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</si>
  <si>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</si>
  <si>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</si>
  <si>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</si>
  <si>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</si>
  <si>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</si>
  <si>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</si>
  <si>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</si>
  <si>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</si>
  <si>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</si>
  <si>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</si>
  <si>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</si>
  <si>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</si>
  <si>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</si>
  <si>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</si>
  <si>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</si>
  <si>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</si>
  <si>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</si>
  <si>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</si>
  <si>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</si>
  <si>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</si>
  <si>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</si>
  <si>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</si>
  <si>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</si>
  <si>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</si>
  <si>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</si>
  <si>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</si>
  <si>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</si>
  <si>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</si>
  <si>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</si>
  <si>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</si>
  <si>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</si>
  <si>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</si>
  <si>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</si>
  <si>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</si>
  <si>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</si>
  <si>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</si>
  <si>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</si>
  <si>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</si>
  <si>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</si>
  <si>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</si>
  <si>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</si>
  <si>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</si>
  <si>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</si>
  <si>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</si>
  <si>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</si>
  <si>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</si>
  <si>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</si>
  <si>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</si>
  <si>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</si>
  <si>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</si>
  <si>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</si>
  <si>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</si>
  <si>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</si>
  <si>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</si>
  <si>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</si>
  <si>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</si>
  <si>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</si>
  <si>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</si>
  <si>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</si>
  <si>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</si>
  <si>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</si>
  <si>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</si>
  <si>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</si>
  <si>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</si>
  <si>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</si>
  <si>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</si>
  <si>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</si>
  <si>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</si>
  <si>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</si>
  <si>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</si>
  <si>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</si>
  <si>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</si>
  <si>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</si>
  <si>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</si>
  <si>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</si>
  <si>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</si>
  <si>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</si>
  <si>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</si>
  <si>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</si>
  <si>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</si>
  <si>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</si>
  <si>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</si>
  <si>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</si>
  <si>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</si>
  <si>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</si>
  <si>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</si>
  <si>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</si>
  <si>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</si>
  <si>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</si>
  <si>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</si>
  <si>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</si>
  <si>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</si>
  <si>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</si>
  <si>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</si>
  <si>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</si>
  <si>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</si>
  <si>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</si>
  <si>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</si>
  <si>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</si>
  <si>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</si>
  <si>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</si>
  <si>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</si>
  <si>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</si>
  <si>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</si>
  <si>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</si>
  <si>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</si>
  <si>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</si>
  <si>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</si>
  <si>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</si>
  <si>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</si>
  <si>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</si>
  <si>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</si>
  <si>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</si>
  <si>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</si>
  <si>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</si>
  <si>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</si>
  <si>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</si>
  <si>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</si>
  <si>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</si>
  <si>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</si>
  <si>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</si>
  <si>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</si>
  <si>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</si>
  <si>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</si>
  <si>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</si>
  <si>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</si>
  <si>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</si>
  <si>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</si>
  <si>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</si>
  <si>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</si>
  <si>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</si>
  <si>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</si>
  <si>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</si>
  <si>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</si>
  <si>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</si>
  <si>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</si>
  <si>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</si>
  <si>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</si>
  <si>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</si>
  <si>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</si>
  <si>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</si>
  <si>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</si>
  <si>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</si>
  <si>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</si>
  <si>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</si>
  <si>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</si>
  <si>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</si>
  <si>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</si>
  <si>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</si>
  <si>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</si>
  <si>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</si>
  <si>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</si>
  <si>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</si>
  <si>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</si>
  <si>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</si>
  <si>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</si>
  <si>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</si>
  <si>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</si>
  <si>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</si>
  <si>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</si>
  <si>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</si>
  <si>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</si>
  <si>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</si>
  <si>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</si>
  <si>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</si>
  <si>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</si>
  <si>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</si>
  <si>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</si>
  <si>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</si>
  <si>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</si>
  <si>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</si>
  <si>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</si>
  <si>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</si>
  <si>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</si>
  <si>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</si>
  <si>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</si>
  <si>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</si>
  <si>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</si>
  <si>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</si>
  <si>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</si>
  <si>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</si>
  <si>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</si>
  <si>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</si>
  <si>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</si>
  <si>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</si>
  <si>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</si>
  <si>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</si>
  <si>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</si>
  <si>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</si>
  <si>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</si>
  <si>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</si>
  <si>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</si>
  <si>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</si>
  <si>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</si>
  <si>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</si>
  <si>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</si>
  <si>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</si>
  <si>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</si>
  <si>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</si>
  <si>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</si>
  <si>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</si>
  <si>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</si>
  <si>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</si>
  <si>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</si>
  <si>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</si>
  <si>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</si>
  <si>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</si>
  <si>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</si>
  <si>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</si>
  <si>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</si>
  <si>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</si>
  <si>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</si>
  <si>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</si>
  <si>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</si>
  <si>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</si>
  <si>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</si>
  <si>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</si>
  <si>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</si>
  <si>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</si>
  <si>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</si>
  <si>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</si>
  <si>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</si>
  <si>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</si>
  <si>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</si>
  <si>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</si>
  <si>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</si>
  <si>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</si>
  <si>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</si>
  <si>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</si>
  <si>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</si>
  <si>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</si>
  <si>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</si>
  <si>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</si>
  <si>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</si>
  <si>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</si>
  <si>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</si>
  <si>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</si>
  <si>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</si>
  <si>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</si>
  <si>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</si>
  <si>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</si>
  <si>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</si>
  <si>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</si>
  <si>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</si>
  <si>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</si>
  <si>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</si>
  <si>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</si>
  <si>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</si>
  <si>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</si>
  <si>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</si>
  <si>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</si>
  <si>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</si>
  <si>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</si>
  <si>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</si>
  <si>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</si>
  <si>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</si>
  <si>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</si>
  <si>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</si>
  <si>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</si>
  <si>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</si>
  <si>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</si>
  <si>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</si>
  <si>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</si>
  <si>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</si>
  <si>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</si>
  <si>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</si>
  <si>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</si>
  <si>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</si>
  <si>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</si>
  <si>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</si>
  <si>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</si>
  <si>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</si>
  <si>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</si>
  <si>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</si>
  <si>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</si>
  <si>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</si>
  <si>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</si>
  <si>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</si>
  <si>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</si>
  <si>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</si>
  <si>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</si>
  <si>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</si>
  <si>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</si>
  <si>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</si>
  <si>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</si>
  <si>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</si>
  <si>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</si>
  <si>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</si>
  <si>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</si>
  <si>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</si>
  <si>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</si>
  <si>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</si>
  <si>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</si>
  <si>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</si>
  <si>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</si>
  <si>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</si>
  <si>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</si>
  <si>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</si>
  <si>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</si>
  <si>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</si>
  <si>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</si>
  <si>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</si>
  <si>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</si>
  <si>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</si>
  <si>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</si>
  <si>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</si>
  <si>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</si>
  <si>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</si>
  <si>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</si>
  <si>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</si>
  <si>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</si>
  <si>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</si>
  <si>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</si>
  <si>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</si>
  <si>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</si>
  <si>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</si>
  <si>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</si>
  <si>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</si>
  <si>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</si>
  <si>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</si>
  <si>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</si>
  <si>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</si>
  <si>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</si>
  <si>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</si>
  <si>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</si>
  <si>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</si>
  <si>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</si>
  <si>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</si>
  <si>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</si>
  <si>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</si>
  <si>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</si>
  <si>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</si>
  <si>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</si>
  <si>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</si>
  <si>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</si>
  <si>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</si>
  <si>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</si>
  <si>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</si>
  <si>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</si>
  <si>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</si>
  <si>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</si>
  <si>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</si>
  <si>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</si>
  <si>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</si>
  <si>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</si>
  <si>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</si>
  <si>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</si>
  <si>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</si>
  <si>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</si>
  <si>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</si>
  <si>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</si>
  <si>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</si>
  <si>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</si>
  <si>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</si>
  <si>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</si>
  <si>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</si>
  <si>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</si>
  <si>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</si>
  <si>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</si>
  <si>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</si>
  <si>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</si>
  <si>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</si>
  <si>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</si>
  <si>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</si>
  <si>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</si>
  <si>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</si>
  <si>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</si>
  <si>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</si>
  <si>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</si>
  <si>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</si>
  <si>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</si>
  <si>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</si>
  <si>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</si>
  <si>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</si>
  <si>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</si>
  <si>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</si>
  <si>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</si>
  <si>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</si>
  <si>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</si>
  <si>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</si>
  <si>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</si>
  <si>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</si>
  <si>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</si>
  <si>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</si>
  <si>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</si>
  <si>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</si>
  <si>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</si>
  <si>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</si>
  <si>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</si>
  <si>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</si>
  <si>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</si>
  <si>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</si>
  <si>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</si>
  <si>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</si>
  <si>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</si>
  <si>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</si>
  <si>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</si>
  <si>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</si>
  <si>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</si>
  <si>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</si>
  <si>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</si>
  <si>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</si>
  <si>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</si>
  <si>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</si>
  <si>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</si>
  <si>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</si>
  <si>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</si>
  <si>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</si>
  <si>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</si>
  <si>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</si>
  <si>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</si>
  <si>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</si>
  <si>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</si>
  <si>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</si>
  <si>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</si>
  <si>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</si>
  <si>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</si>
  <si>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</si>
  <si>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</si>
  <si>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</si>
  <si>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</si>
  <si>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</si>
  <si>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</si>
  <si>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</si>
  <si>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</si>
  <si>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</si>
  <si>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</si>
  <si>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</si>
  <si>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</si>
  <si>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</si>
  <si>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</si>
  <si>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</si>
  <si>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</si>
  <si>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</si>
  <si>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</si>
  <si>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</si>
  <si>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</si>
  <si>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</si>
  <si>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</si>
  <si>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</si>
  <si>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</si>
  <si>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</si>
  <si>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</si>
  <si>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</si>
  <si>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</si>
  <si>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</si>
  <si>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</si>
  <si>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</si>
  <si>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</si>
  <si>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</si>
  <si>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</si>
  <si>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</si>
  <si>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</si>
  <si>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</si>
  <si>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</si>
  <si>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</si>
  <si>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</si>
  <si>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</si>
  <si>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</si>
  <si>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</si>
  <si>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</si>
  <si>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</si>
  <si>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</si>
  <si>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</si>
  <si>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</si>
  <si>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</si>
  <si>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</si>
  <si>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</si>
  <si>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</si>
  <si>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</si>
  <si>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</si>
  <si>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</si>
  <si>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</si>
  <si>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</si>
  <si>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</si>
  <si>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</si>
  <si>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</si>
  <si>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</si>
  <si>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</si>
  <si>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</si>
  <si>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</si>
  <si>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</si>
  <si>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</si>
  <si>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</si>
  <si>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</si>
  <si>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</si>
  <si>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</si>
  <si>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</si>
  <si>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</si>
  <si>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</si>
  <si>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</si>
  <si>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</si>
  <si>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</si>
  <si>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</si>
  <si>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</si>
  <si>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</si>
  <si>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</si>
  <si>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</si>
  <si>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</si>
  <si>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</si>
  <si>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</si>
  <si>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</si>
  <si>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</si>
  <si>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</si>
  <si>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</si>
  <si>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</si>
  <si>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</si>
  <si>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</si>
  <si>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</si>
  <si>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</si>
  <si>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</si>
  <si>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</si>
  <si>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</si>
  <si>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</si>
  <si>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</si>
  <si>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</si>
  <si>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</si>
  <si>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</si>
  <si>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</si>
  <si>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</si>
  <si>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</si>
  <si>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</si>
  <si>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</si>
  <si>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</si>
  <si>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</si>
  <si>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</si>
  <si>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</si>
  <si>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</si>
  <si>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</si>
  <si>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</si>
  <si>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</si>
  <si>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</si>
  <si>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</si>
  <si>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</si>
  <si>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</si>
  <si>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</si>
  <si>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</si>
  <si>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</si>
  <si>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</si>
  <si>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</si>
  <si>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</si>
  <si>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</si>
  <si>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</si>
  <si>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</si>
  <si>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</si>
  <si>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</si>
  <si>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</si>
  <si>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</si>
  <si>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</si>
  <si>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</si>
  <si>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</si>
  <si>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</si>
  <si>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</si>
  <si>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</si>
  <si>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</si>
  <si>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</si>
  <si>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</si>
  <si>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</si>
  <si>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</si>
  <si>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</si>
  <si>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</si>
  <si>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</si>
  <si>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</si>
  <si>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</si>
  <si>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</si>
  <si>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</si>
  <si>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</si>
  <si>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</si>
  <si>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</si>
  <si>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</si>
  <si>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</si>
  <si>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</si>
  <si>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</si>
  <si>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</si>
  <si>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</si>
  <si>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</si>
  <si>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</si>
  <si>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</si>
  <si>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</si>
  <si>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</si>
  <si>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</si>
  <si>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</si>
  <si>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</si>
  <si>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</si>
  <si>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</si>
  <si>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</si>
  <si>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</si>
  <si>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</si>
  <si>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</si>
  <si>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</si>
  <si>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</si>
  <si>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</si>
  <si>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</si>
  <si>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</si>
  <si>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</si>
  <si>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</si>
  <si>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</si>
  <si>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</si>
  <si>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</si>
  <si>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</si>
  <si>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</si>
  <si>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</si>
  <si>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</si>
  <si>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</si>
  <si>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</si>
  <si>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</si>
  <si>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</si>
  <si>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</si>
  <si>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</si>
  <si>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</si>
  <si>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</si>
  <si>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</si>
  <si>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</si>
  <si>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</si>
  <si>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</si>
  <si>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</si>
  <si>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</si>
  <si>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</si>
  <si>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</si>
  <si>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</si>
  <si>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</si>
  <si>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</si>
  <si>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</si>
  <si>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</si>
  <si>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</si>
  <si>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</si>
  <si>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</si>
  <si>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</si>
  <si>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</si>
  <si>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</si>
  <si>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</si>
  <si>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</si>
  <si>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</si>
  <si>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</si>
  <si>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</si>
  <si>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</si>
  <si>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</si>
  <si>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</si>
  <si>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</si>
  <si>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</si>
  <si>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</si>
  <si>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</si>
  <si>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</si>
  <si>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</si>
  <si>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</si>
  <si>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</si>
  <si>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</si>
  <si>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</si>
  <si>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</si>
  <si>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</si>
  <si>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</si>
  <si>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</si>
  <si>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</si>
  <si>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</si>
  <si>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</si>
  <si>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</si>
  <si>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</si>
  <si>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</si>
  <si>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</si>
  <si>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</si>
  <si>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</si>
  <si>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</si>
  <si>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</si>
  <si>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</si>
  <si>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</si>
  <si>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</si>
  <si>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</si>
  <si>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</si>
  <si>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</si>
  <si>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</si>
  <si>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</si>
  <si>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</si>
  <si>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</si>
  <si>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</si>
  <si>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</si>
  <si>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</si>
  <si>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</si>
  <si>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</si>
  <si>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</si>
  <si>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</si>
  <si>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</si>
  <si>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</si>
  <si>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</si>
  <si>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</si>
  <si>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</si>
  <si>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</si>
  <si>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</si>
  <si>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</si>
  <si>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</si>
  <si>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</si>
  <si>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</si>
  <si>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</si>
  <si>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</si>
  <si>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</si>
  <si>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</si>
  <si>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</si>
  <si>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</si>
  <si>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</si>
  <si>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</si>
  <si>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</si>
  <si>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</si>
  <si>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</si>
  <si>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</si>
  <si>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</si>
  <si>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</si>
  <si>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</si>
  <si>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</si>
  <si>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</si>
  <si>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</si>
  <si>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</si>
  <si>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</si>
  <si>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</si>
  <si>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</si>
  <si>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</si>
  <si>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</si>
  <si>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</si>
  <si>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</si>
  <si>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</si>
  <si>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</si>
  <si>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</si>
  <si>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</si>
  <si>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</si>
  <si>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</si>
  <si>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</si>
  <si>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</si>
  <si>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</si>
  <si>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</si>
  <si>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</si>
  <si>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</si>
  <si>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</si>
  <si>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</si>
  <si>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</si>
  <si>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</si>
  <si>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</si>
  <si>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</si>
  <si>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</si>
  <si>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</si>
  <si>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</si>
  <si>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</si>
  <si>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</si>
  <si>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</si>
  <si>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</si>
  <si>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</si>
  <si>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</si>
  <si>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</si>
  <si>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</si>
  <si>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</si>
  <si>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</si>
  <si>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</si>
  <si>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</si>
  <si>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</si>
  <si>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</si>
  <si>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</si>
  <si>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</si>
  <si>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</si>
  <si>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</si>
  <si>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</si>
  <si>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</si>
  <si>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</si>
  <si>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</si>
  <si>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</si>
  <si>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</si>
  <si>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</si>
  <si>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</si>
  <si>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</si>
  <si>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</si>
  <si>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</si>
  <si>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</si>
  <si>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</si>
  <si>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</si>
  <si>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</si>
  <si>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</si>
  <si>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</si>
  <si>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</si>
  <si>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</si>
  <si>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</si>
  <si>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</si>
  <si>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</si>
  <si>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</si>
  <si>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</si>
  <si>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</si>
  <si>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</si>
  <si>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</si>
  <si>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</si>
  <si>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</si>
  <si>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</si>
  <si>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</si>
  <si>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</si>
  <si>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</si>
  <si>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</si>
  <si>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</si>
  <si>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</si>
  <si>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</si>
  <si>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</si>
  <si>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</si>
  <si>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</si>
  <si>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</si>
  <si>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</si>
  <si>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</si>
  <si>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</si>
  <si>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</si>
  <si>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</si>
  <si>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</si>
  <si>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</si>
  <si>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</si>
  <si>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</si>
  <si>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</si>
  <si>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</si>
  <si>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</si>
  <si>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</si>
  <si>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</si>
  <si>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</si>
  <si>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</si>
  <si>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</si>
  <si>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</si>
  <si>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</si>
  <si>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</si>
  <si>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</si>
  <si>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</si>
  <si>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</si>
  <si>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</si>
  <si>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</si>
  <si>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</si>
  <si>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</si>
  <si>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</si>
  <si>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</si>
  <si>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</si>
  <si>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</si>
  <si>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</si>
  <si>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</si>
  <si>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</si>
  <si>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</si>
  <si>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</si>
  <si>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</si>
  <si>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</si>
  <si>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</si>
  <si>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</si>
  <si>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</si>
  <si>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</si>
  <si>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</si>
  <si>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</si>
  <si>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</si>
  <si>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</si>
  <si>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</si>
  <si>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</si>
  <si>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</si>
  <si>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</si>
  <si>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</si>
  <si>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</si>
  <si>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</si>
  <si>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</si>
  <si>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</si>
  <si>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</si>
  <si>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</si>
  <si>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</si>
  <si>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</si>
  <si>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</si>
  <si>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</si>
  <si>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</si>
  <si>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</si>
  <si>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</si>
  <si>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</si>
  <si>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</si>
  <si>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</si>
  <si>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</si>
  <si>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</si>
  <si>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</si>
  <si>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</si>
  <si>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</si>
  <si>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</si>
  <si>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</si>
  <si>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</si>
  <si>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</si>
  <si>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</si>
  <si>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</si>
  <si>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</si>
  <si>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</si>
  <si>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</si>
  <si>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</si>
  <si>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</si>
  <si>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</si>
  <si>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</si>
  <si>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</si>
  <si>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</si>
  <si>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</si>
  <si>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</si>
  <si>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</si>
  <si>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</si>
  <si>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</si>
  <si>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</si>
  <si>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</si>
  <si>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</si>
  <si>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</si>
  <si>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</si>
  <si>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</si>
  <si>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</si>
  <si>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</si>
  <si>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</si>
  <si>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</si>
  <si>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</si>
  <si>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</si>
  <si>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</si>
  <si>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</si>
  <si>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</si>
  <si>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</si>
  <si>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</si>
  <si>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</si>
  <si>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</si>
  <si>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</si>
  <si>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</si>
  <si>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</si>
  <si>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</si>
  <si>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</si>
  <si>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</si>
  <si>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</si>
  <si>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</si>
  <si>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</si>
  <si>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</si>
  <si>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</si>
  <si>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</si>
  <si>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</si>
  <si>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</si>
  <si>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</si>
  <si>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</si>
  <si>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</si>
  <si>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</si>
  <si>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</si>
  <si>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</si>
  <si>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</si>
  <si>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</si>
  <si>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</si>
  <si>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</si>
  <si>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</si>
  <si>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</si>
  <si>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</si>
  <si>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</si>
  <si>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</si>
  <si>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</si>
  <si>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</si>
  <si>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</si>
  <si>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</si>
  <si>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</si>
  <si>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</si>
  <si>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</si>
  <si>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</si>
  <si>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</si>
  <si>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</si>
  <si>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</si>
  <si>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</si>
  <si>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</si>
  <si>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</si>
  <si>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</si>
  <si>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</si>
  <si>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</si>
  <si>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</si>
  <si>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</si>
  <si>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</si>
  <si>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</si>
  <si>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</si>
  <si>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</si>
  <si>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</si>
  <si>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</si>
  <si>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</si>
  <si>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</si>
  <si>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</si>
  <si>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</si>
  <si>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</si>
  <si>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</si>
  <si>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</si>
  <si>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</si>
  <si>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</si>
  <si>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</si>
  <si>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</si>
  <si>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</si>
  <si>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</si>
  <si>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</si>
  <si>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</si>
  <si>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</si>
  <si>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</si>
  <si>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</si>
  <si>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</si>
  <si>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</si>
  <si>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</si>
  <si>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</si>
  <si>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</si>
  <si>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</si>
  <si>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</si>
  <si>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</si>
  <si>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</si>
  <si>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</si>
  <si>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</si>
  <si>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</si>
  <si>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</si>
  <si>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</si>
  <si>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</si>
  <si>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</si>
  <si>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</si>
  <si>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</si>
  <si>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</si>
  <si>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</si>
  <si>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</si>
  <si>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</si>
  <si>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</si>
  <si>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</si>
  <si>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</si>
  <si>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</si>
  <si>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</si>
  <si>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</si>
  <si>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</si>
  <si>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</si>
  <si>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</si>
  <si>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</si>
  <si>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</si>
  <si>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</si>
  <si>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</si>
  <si>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</si>
  <si>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</si>
  <si>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</si>
  <si>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</si>
  <si>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</si>
  <si>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</si>
  <si>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</si>
  <si>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</si>
  <si>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</si>
  <si>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</si>
  <si>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</si>
  <si>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</si>
  <si>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</si>
  <si>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</si>
  <si>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</si>
  <si>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</si>
  <si>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</si>
  <si>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</si>
  <si>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</si>
  <si>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</si>
  <si>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</si>
  <si>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</si>
  <si>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</si>
  <si>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</si>
  <si>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</si>
  <si>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</si>
  <si>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</si>
  <si>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</si>
  <si>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</si>
  <si>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</si>
  <si>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</si>
  <si>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</si>
  <si>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</si>
  <si>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</si>
  <si>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</si>
  <si>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</si>
  <si>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</si>
  <si>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</si>
  <si>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</si>
  <si>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</si>
  <si>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</si>
  <si>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</si>
  <si>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</si>
  <si>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</si>
  <si>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</si>
  <si>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</si>
  <si>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</si>
  <si>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</si>
  <si>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</si>
  <si>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</si>
  <si>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</si>
  <si>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</si>
  <si>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</si>
  <si>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</si>
  <si>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</si>
  <si>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</si>
  <si>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</si>
  <si>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</si>
  <si>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</si>
  <si>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</si>
  <si>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</si>
  <si>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</si>
  <si>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</si>
  <si>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</si>
  <si>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</si>
  <si>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</si>
  <si>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</si>
  <si>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</si>
  <si>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</si>
  <si>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</si>
  <si>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</si>
  <si>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</si>
  <si>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</si>
  <si>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</si>
  <si>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</si>
  <si>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</si>
  <si>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</si>
  <si>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</si>
  <si>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</si>
  <si>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</si>
  <si>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</si>
  <si>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</si>
  <si>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</si>
  <si>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</si>
  <si>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</si>
  <si>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</si>
  <si>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</si>
  <si>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</si>
  <si>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</si>
  <si>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</si>
  <si>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</si>
  <si>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</si>
  <si>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</si>
  <si>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</si>
  <si>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</si>
  <si>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</si>
  <si>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</si>
  <si>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</si>
  <si>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</si>
  <si>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</si>
  <si>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</si>
  <si>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</si>
  <si>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</si>
  <si>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</si>
  <si>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</si>
  <si>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</si>
  <si>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</si>
  <si>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</si>
  <si>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</si>
  <si>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</si>
  <si>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</si>
  <si>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</si>
  <si>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</si>
  <si>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</si>
  <si>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</si>
  <si>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</si>
  <si>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</si>
  <si>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</si>
  <si>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</si>
  <si>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</si>
  <si>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</si>
  <si>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</si>
  <si>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</si>
  <si>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</si>
  <si>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</si>
  <si>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</si>
  <si>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</si>
  <si>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</si>
  <si>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</si>
  <si>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</si>
  <si>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</si>
  <si>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</si>
  <si>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</si>
  <si>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</si>
  <si>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</si>
  <si>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</si>
  <si>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</si>
  <si>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</si>
  <si>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</si>
  <si>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</si>
  <si>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</si>
  <si>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</si>
  <si>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</si>
  <si>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</si>
  <si>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</si>
  <si>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</si>
  <si>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</si>
  <si>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</si>
  <si>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</si>
  <si>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</si>
  <si>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</si>
  <si>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</si>
  <si>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</si>
  <si>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</si>
  <si>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</si>
  <si>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</si>
  <si>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</si>
  <si>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</si>
  <si>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</si>
  <si>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</si>
  <si>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</si>
  <si>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</si>
  <si>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</si>
  <si>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</si>
  <si>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</si>
  <si>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</si>
  <si>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</si>
  <si>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</si>
  <si>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</si>
  <si>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</si>
  <si>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</si>
  <si>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</si>
  <si>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</si>
  <si>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</si>
  <si>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</si>
  <si>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</si>
  <si>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</si>
  <si>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</si>
  <si>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</si>
  <si>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</si>
  <si>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</si>
  <si>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</si>
  <si>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</si>
  <si>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</si>
  <si>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</si>
  <si>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</si>
  <si>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</si>
  <si>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</si>
  <si>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</si>
  <si>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</si>
  <si>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</si>
  <si>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</si>
  <si>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</si>
  <si>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</si>
  <si>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</si>
  <si>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</si>
  <si>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</si>
  <si>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</si>
  <si>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</si>
  <si>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</si>
  <si>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</si>
  <si>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</si>
  <si>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</si>
  <si>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</si>
  <si>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</si>
  <si>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</si>
  <si>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</si>
  <si>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</si>
  <si>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</si>
  <si>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</si>
  <si>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</si>
  <si>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</si>
  <si>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</si>
  <si>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</si>
  <si>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</si>
  <si>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</si>
  <si>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</si>
  <si>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</si>
  <si>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</si>
  <si>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</si>
  <si>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</si>
  <si>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</si>
  <si>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</si>
  <si>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</si>
  <si>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</si>
  <si>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</si>
  <si>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</si>
  <si>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</si>
  <si>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</si>
  <si>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</si>
  <si>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</si>
  <si>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</si>
  <si>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</si>
  <si>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</si>
  <si>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</si>
  <si>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</si>
  <si>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</si>
  <si>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</si>
  <si>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</si>
  <si>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</si>
  <si>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</si>
  <si>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</si>
  <si>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</si>
  <si>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</si>
  <si>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</si>
  <si>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</si>
  <si>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</si>
  <si>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</si>
  <si>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</si>
  <si>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</si>
  <si>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</si>
  <si>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</si>
  <si>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</si>
  <si>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</si>
  <si>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</si>
  <si>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</si>
  <si>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</si>
  <si>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</si>
  <si>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</si>
  <si>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</si>
  <si>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</si>
  <si>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</si>
  <si>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</si>
  <si>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</si>
  <si>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</si>
  <si>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</si>
  <si>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</si>
  <si>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</si>
  <si>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</si>
  <si>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</si>
  <si>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</si>
  <si>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</si>
  <si>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</si>
  <si>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</si>
  <si>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</si>
  <si>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</si>
  <si>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</si>
  <si>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</si>
  <si>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</si>
  <si>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</si>
  <si>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</si>
  <si>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</si>
  <si>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</si>
  <si>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</si>
  <si>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</si>
  <si>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</si>
  <si>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</si>
  <si>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</si>
  <si>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</si>
  <si>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</si>
  <si>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</si>
  <si>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</si>
  <si>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</si>
  <si>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</si>
  <si>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</si>
  <si>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</si>
  <si>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</si>
  <si>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</si>
  <si>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</si>
  <si>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</si>
  <si>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</si>
  <si>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</si>
  <si>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</si>
  <si>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</si>
  <si>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</si>
  <si>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</si>
  <si>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</si>
  <si>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</si>
  <si>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</si>
  <si>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</si>
  <si>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</si>
  <si>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</si>
  <si>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</si>
  <si>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</si>
  <si>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</si>
  <si>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</si>
  <si>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</si>
  <si>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</si>
  <si>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</si>
  <si>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</si>
  <si>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</si>
  <si>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</si>
  <si>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</si>
  <si>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</si>
  <si>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</si>
  <si>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</si>
  <si>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</si>
  <si>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</si>
  <si>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</si>
  <si>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</si>
  <si>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</si>
  <si>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</si>
  <si>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</si>
  <si>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</si>
  <si>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</si>
  <si>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</si>
  <si>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</si>
  <si>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</si>
  <si>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</si>
  <si>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</si>
  <si>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</si>
  <si>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</si>
  <si>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</si>
  <si>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</si>
  <si>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</si>
  <si>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</si>
  <si>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</si>
  <si>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</si>
  <si>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</si>
  <si>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</si>
  <si>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</si>
  <si>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</si>
  <si>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</si>
  <si>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</si>
  <si>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</si>
  <si>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</si>
  <si>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</si>
  <si>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</si>
  <si>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</si>
  <si>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</si>
  <si>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</si>
  <si>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</si>
  <si>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</si>
  <si>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</si>
  <si>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</si>
  <si>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</si>
  <si>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</si>
  <si>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</si>
  <si>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</si>
  <si>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</si>
  <si>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</si>
  <si>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</si>
  <si>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</si>
  <si>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</si>
  <si>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</si>
  <si>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</si>
  <si>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</si>
  <si>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</si>
  <si>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</si>
  <si>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</si>
  <si>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</si>
  <si>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</si>
  <si>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</si>
  <si>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</si>
  <si>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</si>
  <si>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</si>
  <si>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</si>
  <si>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</si>
  <si>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</si>
  <si>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</si>
  <si>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</si>
  <si>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</si>
  <si>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</si>
  <si>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</si>
  <si>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</si>
  <si>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</si>
  <si>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</si>
  <si>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</si>
  <si>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</si>
  <si>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</si>
  <si>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</si>
  <si>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</si>
  <si>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</si>
  <si>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</si>
  <si>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</si>
  <si>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</si>
  <si>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</si>
  <si>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</si>
  <si>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</si>
  <si>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</si>
  <si>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</si>
  <si>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</si>
  <si>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</si>
  <si>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</si>
  <si>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</si>
  <si>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</si>
  <si>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</si>
  <si>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</si>
  <si>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</si>
  <si>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</si>
  <si>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</si>
  <si>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</si>
  <si>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</si>
  <si>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</si>
  <si>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</si>
  <si>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</si>
  <si>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</si>
  <si>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</si>
  <si>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</si>
  <si>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</si>
  <si>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</si>
  <si>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</si>
  <si>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</si>
  <si>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</si>
  <si>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</si>
  <si>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</si>
  <si>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</si>
  <si>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</si>
  <si>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</si>
  <si>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</si>
  <si>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</si>
  <si>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</si>
  <si>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</si>
  <si>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</si>
  <si>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</si>
  <si>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</si>
  <si>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</si>
  <si>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</si>
  <si>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</si>
  <si>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</si>
  <si>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</si>
  <si>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</si>
  <si>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</si>
  <si>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</si>
  <si>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</si>
  <si>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</si>
  <si>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</si>
  <si>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</si>
  <si>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</si>
  <si>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</si>
  <si>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</si>
  <si>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</si>
  <si>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</si>
  <si>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</si>
  <si>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</si>
  <si>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</si>
  <si>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</si>
  <si>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</si>
  <si>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</si>
  <si>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</si>
  <si>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</si>
  <si>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</si>
  <si>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</si>
  <si>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</si>
  <si>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</si>
  <si>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</si>
  <si>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</si>
  <si>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</si>
  <si>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</si>
  <si>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</si>
  <si>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</si>
  <si>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</si>
  <si>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</si>
  <si>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</si>
  <si>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</si>
  <si>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</si>
  <si>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</si>
  <si>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</si>
  <si>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</si>
  <si>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</si>
  <si>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</si>
  <si>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</si>
  <si>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</si>
  <si>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</si>
  <si>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</si>
  <si>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</si>
  <si>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</si>
  <si>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</si>
  <si>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</si>
  <si>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</si>
  <si>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</si>
  <si>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</si>
  <si>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</si>
  <si>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</si>
  <si>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</si>
  <si>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</si>
  <si>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</si>
  <si>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</si>
  <si>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</si>
  <si>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</si>
  <si>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</si>
  <si>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</si>
  <si>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</si>
  <si>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</si>
  <si>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</si>
  <si>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</si>
  <si>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</si>
  <si>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</si>
  <si>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</si>
  <si>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</si>
  <si>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</si>
  <si>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</si>
  <si>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</si>
  <si>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</si>
  <si>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</si>
  <si>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</si>
  <si>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</si>
  <si>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</si>
  <si>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</si>
  <si>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</si>
  <si>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</si>
  <si>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</si>
  <si>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</si>
  <si>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</si>
  <si>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</si>
  <si>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</si>
  <si>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</si>
  <si>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</si>
  <si>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</si>
  <si>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</si>
  <si>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</si>
  <si>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</si>
  <si>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</si>
  <si>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</si>
  <si>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</si>
  <si>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</si>
  <si>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</si>
  <si>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</si>
  <si>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</si>
  <si>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</si>
  <si>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</si>
  <si>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</si>
  <si>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</si>
  <si>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</si>
  <si>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</si>
  <si>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</si>
  <si>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</si>
  <si>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</si>
  <si>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</si>
  <si>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</si>
  <si>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</si>
  <si>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</si>
  <si>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</si>
  <si>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</si>
  <si>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</si>
  <si>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</si>
  <si>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</si>
  <si>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</si>
  <si>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</si>
  <si>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</si>
  <si>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</si>
  <si>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</si>
  <si>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</si>
  <si>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</si>
  <si>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</si>
  <si>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</si>
  <si>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</si>
  <si>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</si>
  <si>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</si>
  <si>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</si>
  <si>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</si>
  <si>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</si>
  <si>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</si>
  <si>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</si>
  <si>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</si>
  <si>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</si>
  <si>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</si>
  <si>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</si>
  <si>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</si>
  <si>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</si>
  <si>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</si>
  <si>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</si>
  <si>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</si>
  <si>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</si>
  <si>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</si>
  <si>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</si>
  <si>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</si>
  <si>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</si>
  <si>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</si>
  <si>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</si>
  <si>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</si>
  <si>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</si>
  <si>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</si>
  <si>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</si>
  <si>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</si>
  <si>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</si>
  <si>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</si>
  <si>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</si>
  <si>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</si>
  <si>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</si>
  <si>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</si>
  <si>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</si>
  <si>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</si>
  <si>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</si>
  <si>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</si>
  <si>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</si>
  <si>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</si>
  <si>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</si>
  <si>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</si>
  <si>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</si>
  <si>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</si>
  <si>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</si>
  <si>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</si>
  <si>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</si>
  <si>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</si>
  <si>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</si>
  <si>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</si>
  <si>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</si>
  <si>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</si>
  <si>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</si>
  <si>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</si>
  <si>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</si>
  <si>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</si>
  <si>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</si>
  <si>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</si>
  <si>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</si>
  <si>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</si>
  <si>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</si>
  <si>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</si>
  <si>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</si>
  <si>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</si>
  <si>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</si>
  <si>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</si>
  <si>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</si>
  <si>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</si>
  <si>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</si>
  <si>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</si>
  <si>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</si>
  <si>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</si>
  <si>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</si>
  <si>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</si>
  <si>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</si>
  <si>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</si>
  <si>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</si>
  <si>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</si>
  <si>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</si>
  <si>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</si>
  <si>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</si>
  <si>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</si>
  <si>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</si>
  <si>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</si>
  <si>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</si>
  <si>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</si>
  <si>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</si>
  <si>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</si>
  <si>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</si>
  <si>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</si>
  <si>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</si>
  <si>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</si>
  <si>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</si>
  <si>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</si>
  <si>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</si>
  <si>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</si>
  <si>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</si>
  <si>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</si>
  <si>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</si>
  <si>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</si>
  <si>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</si>
  <si>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</si>
  <si>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</si>
  <si>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</si>
  <si>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</si>
  <si>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</si>
  <si>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</si>
  <si>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</si>
  <si>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</si>
  <si>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</si>
  <si>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</si>
  <si>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</si>
  <si>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</si>
  <si>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</si>
  <si>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</si>
  <si>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</si>
  <si>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</si>
  <si>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</si>
  <si>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</si>
  <si>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</si>
  <si>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</si>
  <si>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</si>
  <si>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</si>
  <si>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</si>
  <si>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</si>
  <si>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</si>
  <si>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</si>
  <si>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</si>
  <si>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</si>
  <si>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</si>
  <si>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</si>
  <si>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</si>
  <si>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</si>
  <si>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</si>
  <si>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</si>
  <si>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</si>
  <si>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</si>
  <si>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</si>
  <si>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</si>
  <si>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</si>
  <si>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</si>
  <si>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</si>
  <si>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</si>
  <si>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</si>
  <si>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</si>
  <si>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</si>
  <si>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</si>
  <si>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</si>
  <si>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</si>
  <si>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</si>
  <si>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</si>
  <si>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</si>
  <si>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</si>
  <si>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</si>
  <si>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</si>
  <si>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</si>
  <si>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</si>
  <si>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</si>
  <si>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</si>
  <si>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</si>
  <si>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</si>
  <si>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</si>
  <si>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</si>
  <si>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</si>
  <si>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</si>
  <si>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</si>
  <si>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</si>
  <si>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</si>
  <si>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</si>
  <si>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</si>
  <si>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</si>
  <si>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</si>
  <si>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</si>
  <si>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</si>
  <si>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</si>
  <si>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</si>
  <si>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</si>
  <si>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</si>
  <si>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</si>
  <si>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</si>
  <si>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</si>
  <si>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</si>
  <si>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</si>
  <si>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</si>
  <si>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</si>
  <si>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</si>
  <si>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</si>
  <si>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</si>
  <si>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</si>
  <si>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</si>
  <si>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</si>
  <si>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</si>
  <si>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</si>
  <si>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</si>
  <si>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</si>
  <si>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</si>
  <si>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</si>
  <si>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</si>
  <si>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</si>
  <si>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</si>
  <si>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</si>
  <si>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</si>
  <si>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</si>
  <si>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</si>
  <si>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</si>
  <si>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</si>
  <si>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</si>
  <si>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</si>
  <si>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</si>
  <si>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</si>
  <si>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</si>
  <si>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</si>
  <si>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</si>
  <si>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</si>
  <si>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</si>
  <si>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</si>
  <si>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</si>
  <si>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</si>
  <si>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</si>
  <si>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</si>
  <si>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</si>
  <si>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</si>
  <si>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</si>
  <si>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</si>
  <si>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</si>
  <si>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</si>
  <si>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</si>
  <si>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</si>
  <si>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</si>
  <si>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</si>
  <si>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</si>
  <si>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</si>
  <si>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</si>
  <si>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</si>
  <si>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</si>
  <si>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</si>
  <si>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</si>
  <si>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</si>
  <si>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</si>
  <si>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</si>
  <si>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</si>
  <si>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</si>
  <si>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</si>
  <si>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</si>
  <si>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</si>
  <si>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</si>
  <si>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</si>
  <si>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</si>
  <si>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</si>
  <si>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</si>
  <si>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</si>
  <si>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</si>
  <si>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</si>
  <si>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</si>
  <si>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</si>
  <si>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</si>
  <si>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</si>
  <si>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</si>
  <si>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</si>
  <si>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</si>
  <si>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</si>
  <si>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</si>
  <si>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</si>
  <si>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</si>
  <si>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</si>
  <si>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</si>
  <si>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</si>
  <si>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</si>
  <si>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</si>
  <si>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</si>
  <si>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</si>
  <si>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</si>
  <si>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</si>
  <si>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</si>
  <si>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</si>
  <si>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</si>
  <si>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</si>
  <si>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</si>
  <si>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</si>
  <si>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</si>
  <si>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</si>
  <si>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</si>
  <si>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</si>
  <si>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</si>
  <si>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</si>
  <si>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</si>
  <si>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</si>
  <si>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</si>
  <si>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</si>
  <si>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</si>
  <si>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</si>
  <si>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</si>
  <si>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</si>
  <si>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</si>
  <si>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</si>
  <si>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</si>
  <si>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</si>
  <si>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</si>
  <si>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</si>
  <si>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</si>
  <si>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</si>
  <si>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</si>
  <si>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</si>
  <si>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</si>
  <si>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</si>
  <si>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</si>
  <si>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</si>
  <si>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</si>
  <si>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</si>
  <si>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</si>
  <si>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</si>
  <si>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</si>
  <si>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</si>
  <si>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</si>
  <si>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</si>
  <si>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</si>
  <si>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</si>
  <si>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</si>
  <si>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</si>
  <si>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</si>
  <si>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</si>
  <si>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</si>
  <si>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</si>
  <si>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</si>
  <si>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</si>
  <si>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</si>
  <si>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</si>
  <si>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</si>
  <si>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</si>
  <si>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</si>
  <si>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</si>
  <si>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</si>
  <si>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</si>
  <si>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</si>
  <si>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</si>
  <si>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</si>
  <si>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</si>
  <si>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</si>
  <si>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</si>
  <si>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</si>
  <si>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</si>
  <si>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</si>
  <si>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</si>
  <si>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</si>
  <si>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</si>
  <si>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</si>
  <si>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</si>
  <si>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</si>
  <si>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</si>
  <si>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</si>
  <si>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</si>
  <si>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</si>
  <si>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</si>
  <si>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</si>
  <si>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</si>
  <si>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</si>
  <si>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</si>
  <si>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</si>
  <si>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</si>
  <si>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</si>
  <si>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</si>
  <si>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</si>
  <si>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</si>
  <si>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</si>
  <si>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</si>
  <si>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</si>
  <si>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</si>
  <si>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</si>
  <si>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</si>
  <si>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</si>
  <si>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</si>
  <si>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</si>
  <si>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</si>
  <si>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</si>
  <si>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</si>
  <si>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</si>
  <si>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</si>
  <si>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</si>
  <si>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</si>
  <si>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</si>
  <si>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</si>
  <si>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</si>
  <si>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</si>
  <si>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</si>
  <si>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</si>
  <si>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</si>
  <si>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</si>
  <si>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</si>
  <si>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</si>
  <si>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</si>
  <si>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</si>
  <si>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</si>
  <si>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</si>
  <si>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</si>
  <si>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</si>
  <si>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</si>
  <si>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</si>
  <si>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</si>
  <si>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</si>
  <si>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</si>
  <si>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</si>
  <si>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</si>
  <si>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</si>
  <si>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</si>
  <si>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</si>
  <si>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</si>
  <si>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</si>
  <si>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</si>
  <si>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</si>
  <si>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</si>
  <si>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</si>
  <si>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</si>
  <si>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</si>
  <si>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</si>
  <si>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</si>
  <si>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</si>
  <si>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</si>
  <si>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</si>
  <si>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</si>
  <si>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</si>
  <si>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</si>
  <si>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</si>
  <si>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</si>
  <si>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</si>
  <si>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</si>
  <si>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</si>
  <si>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</si>
  <si>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</si>
  <si>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</si>
  <si>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</si>
  <si>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</si>
  <si>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</si>
  <si>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</si>
  <si>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</si>
  <si>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</si>
  <si>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</si>
  <si>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</si>
  <si>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</si>
  <si>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</si>
  <si>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</si>
  <si>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</si>
  <si>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</si>
  <si>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</si>
  <si>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</si>
  <si>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</si>
  <si>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</si>
  <si>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</si>
  <si>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</si>
  <si>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</si>
  <si>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</si>
  <si>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</si>
  <si>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</si>
  <si>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</si>
  <si>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</si>
  <si>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</si>
  <si>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</si>
  <si>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</si>
  <si>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</si>
  <si>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</si>
  <si>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</si>
  <si>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</si>
  <si>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</si>
  <si>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</si>
  <si>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</si>
  <si>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</si>
  <si>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</si>
  <si>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</si>
  <si>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</si>
  <si>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</si>
  <si>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</si>
  <si>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</si>
  <si>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</si>
  <si>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</si>
  <si>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</si>
  <si>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</si>
  <si>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</si>
  <si>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</si>
  <si>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</si>
  <si>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</si>
  <si>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</si>
  <si>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</si>
  <si>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</si>
  <si>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</si>
  <si>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</si>
  <si>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</si>
  <si>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</si>
  <si>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</si>
  <si>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</si>
  <si>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</si>
  <si>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</si>
  <si>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</si>
  <si>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</si>
  <si>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</si>
  <si>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</si>
  <si>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</si>
  <si>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</si>
  <si>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</si>
  <si>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</si>
  <si>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</si>
  <si>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</si>
  <si>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</si>
  <si>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</si>
  <si>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</si>
  <si>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</si>
  <si>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</si>
  <si>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</si>
  <si>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</si>
  <si>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</si>
  <si>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</si>
  <si>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</si>
  <si>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</si>
  <si>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</si>
  <si>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</si>
  <si>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</si>
  <si>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</si>
  <si>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</si>
  <si>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</si>
  <si>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</si>
  <si>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</si>
  <si>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</si>
  <si>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</si>
  <si>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</si>
  <si>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</si>
  <si>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</si>
  <si>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XBK-KABEL Xaver Bechtold GmbH</t>
  </si>
  <si>
    <t>DE260704520</t>
  </si>
  <si>
    <t>Zentraler Einkauf / Central Purchasing Department</t>
  </si>
  <si>
    <t>Unterdorf 101, 78628 Rottweil</t>
  </si>
  <si>
    <t>Viktor Daubert</t>
  </si>
  <si>
    <t>V.Daubert@xbk-kabel.de</t>
  </si>
  <si>
    <t>+49 (0)741/254-137</t>
  </si>
  <si>
    <t>Aristotelis Papadopoulos</t>
  </si>
  <si>
    <t>QMB</t>
  </si>
  <si>
    <t>A.Papadopoulos@xbk-kabel.de</t>
  </si>
  <si>
    <t>https://www.xbk-kabel.de/wp-content/uploads/2023/11/Code-of-Conduct_14.10.2023.pdf</t>
  </si>
  <si>
    <t>E-Mail</t>
  </si>
  <si>
    <t>LKAB Minerals Ltd</t>
  </si>
  <si>
    <t>Raynesway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</si>
</sst>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_-&quot;$&quot;* #,##0_-;\-&quot;$&quot;* #,##0_-;_-&quot;$&quot;* &quot;-&quot;_-;_-@_-"/>
    <numFmt numFmtId="173" formatCode="_-&quot;$&quot;* #,##0.00_-;\-&quot;$&quot;* #,##0.00_-;_-&quot;$&quot;* &quot;-&quot;??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7" fontId="13" fillId="0" borderId="0" applyFont="0" applyFill="0" applyBorder="0" applyAlignment="0" applyProtection="0"/>
    <xf numFmtId="41" fontId="13" fillId="0" borderId="0" applyFont="0" applyFill="0" applyBorder="0" applyAlignment="0" applyProtection="0"/>
    <xf numFmtId="164"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2"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70" fontId="4" fillId="0" borderId="0"/>
    <xf numFmtId="0" fontId="82" fillId="0" borderId="0"/>
    <xf numFmtId="0" fontId="82" fillId="0" borderId="0"/>
    <xf numFmtId="17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70" fontId="4" fillId="0" borderId="0"/>
    <xf numFmtId="0" fontId="10" fillId="0" borderId="0"/>
    <xf numFmtId="170" fontId="82" fillId="0" borderId="0"/>
    <xf numFmtId="0" fontId="5" fillId="0" borderId="0"/>
    <xf numFmtId="0" fontId="5" fillId="0" borderId="0"/>
    <xf numFmtId="170" fontId="10" fillId="0" borderId="0"/>
    <xf numFmtId="0" fontId="5" fillId="0" borderId="0"/>
    <xf numFmtId="0" fontId="10" fillId="0" borderId="0"/>
    <xf numFmtId="0" fontId="5" fillId="0" borderId="0"/>
    <xf numFmtId="0" fontId="66" fillId="0" borderId="0">
      <alignment vertical="center"/>
    </xf>
    <xf numFmtId="17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70" fontId="4" fillId="0" borderId="0"/>
    <xf numFmtId="17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70" fontId="13" fillId="0" borderId="0"/>
    <xf numFmtId="0" fontId="82" fillId="0" borderId="0"/>
    <xf numFmtId="0" fontId="82" fillId="0" borderId="0"/>
    <xf numFmtId="0" fontId="82" fillId="0" borderId="0"/>
    <xf numFmtId="17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7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70" fontId="0" fillId="45" borderId="13" xfId="0" applyNumberFormat="1" applyFill="1" applyBorder="1" applyAlignment="1">
      <alignment vertical="top" wrapText="1"/>
    </xf>
    <xf numFmtId="170" fontId="0" fillId="45" borderId="0" xfId="0" applyNumberFormat="1" applyFill="1"/>
    <xf numFmtId="170" fontId="12" fillId="45" borderId="0" xfId="0" applyNumberFormat="1" applyFont="1" applyFill="1"/>
    <xf numFmtId="17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70"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70" fontId="7" fillId="45" borderId="0" xfId="0" applyNumberFormat="1" applyFont="1" applyFill="1" applyAlignment="1">
      <alignment horizontal="center" vertical="center" wrapText="1"/>
    </xf>
    <xf numFmtId="0" fontId="0" fillId="45" borderId="0" xfId="0" applyFill="1" applyAlignment="1">
      <alignment horizontal="center" vertical="center"/>
    </xf>
    <xf numFmtId="17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70"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8" fillId="45" borderId="56" xfId="829" applyNumberFormat="1" applyFill="1" applyBorder="1" applyAlignment="1" applyProtection="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71" fontId="17" fillId="45" borderId="31" xfId="0" applyNumberFormat="1" applyFont="1" applyFill="1" applyBorder="1" applyAlignment="1" applyProtection="1">
      <alignment horizontal="center" wrapText="1"/>
      <protection locked="0"/>
    </xf>
    <xf numFmtId="171"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8" fillId="45" borderId="56" xfId="829"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6000000}"/>
    <cellStyle name="20% - Accent1 2 2" xfId="597" xr:uid="{00000000-0005-0000-0000-000007000000}"/>
    <cellStyle name="20% - Accent1 2 2 2" xfId="760" xr:uid="{00000000-0005-0000-0000-000008000000}"/>
    <cellStyle name="20% - Accent1 2 3" xfId="713" xr:uid="{00000000-0005-0000-0000-000009000000}"/>
    <cellStyle name="20% - Accent1 3" xfId="807" xr:uid="{00000000-0005-0000-0000-00000A000000}"/>
    <cellStyle name="20% - Accent2 2" xfId="7" xr:uid="{00000000-0005-0000-0000-00000B000000}"/>
    <cellStyle name="20% - Accent2 2 2" xfId="598" xr:uid="{00000000-0005-0000-0000-00000C000000}"/>
    <cellStyle name="20% - Accent2 2 2 2" xfId="761" xr:uid="{00000000-0005-0000-0000-00000D000000}"/>
    <cellStyle name="20% - Accent2 2 3" xfId="714" xr:uid="{00000000-0005-0000-0000-00000E000000}"/>
    <cellStyle name="20% - Accent2 3" xfId="810" xr:uid="{00000000-0005-0000-0000-00000F000000}"/>
    <cellStyle name="20% - Accent3 2" xfId="8" xr:uid="{00000000-0005-0000-0000-000010000000}"/>
    <cellStyle name="20% - Accent3 2 2" xfId="599" xr:uid="{00000000-0005-0000-0000-000011000000}"/>
    <cellStyle name="20% - Accent3 2 2 2" xfId="762" xr:uid="{00000000-0005-0000-0000-000012000000}"/>
    <cellStyle name="20% - Accent3 2 3" xfId="715" xr:uid="{00000000-0005-0000-0000-000013000000}"/>
    <cellStyle name="20% - Accent3 3" xfId="813" xr:uid="{00000000-0005-0000-0000-000014000000}"/>
    <cellStyle name="20% - Accent4 2" xfId="9" xr:uid="{00000000-0005-0000-0000-000015000000}"/>
    <cellStyle name="20% - Accent4 2 2" xfId="600" xr:uid="{00000000-0005-0000-0000-000016000000}"/>
    <cellStyle name="20% - Accent4 2 2 2" xfId="763" xr:uid="{00000000-0005-0000-0000-000017000000}"/>
    <cellStyle name="20% - Accent4 2 3" xfId="716" xr:uid="{00000000-0005-0000-0000-000018000000}"/>
    <cellStyle name="20% - Accent4 3" xfId="816" xr:uid="{00000000-0005-0000-0000-000019000000}"/>
    <cellStyle name="20% - Accent5 2" xfId="10" xr:uid="{00000000-0005-0000-0000-00001A000000}"/>
    <cellStyle name="20% - Accent5 2 2" xfId="601" xr:uid="{00000000-0005-0000-0000-00001B000000}"/>
    <cellStyle name="20% - Accent5 2 2 2" xfId="764" xr:uid="{00000000-0005-0000-0000-00001C000000}"/>
    <cellStyle name="20% - Accent5 2 3" xfId="717" xr:uid="{00000000-0005-0000-0000-00001D000000}"/>
    <cellStyle name="20% - Accent5 3" xfId="819" xr:uid="{00000000-0005-0000-0000-00001E000000}"/>
    <cellStyle name="20% - Accent6 2" xfId="11" xr:uid="{00000000-0005-0000-0000-00001F000000}"/>
    <cellStyle name="20% - Accent6 2 2" xfId="602" xr:uid="{00000000-0005-0000-0000-000020000000}"/>
    <cellStyle name="20% - Accent6 2 2 2" xfId="765" xr:uid="{00000000-0005-0000-0000-000021000000}"/>
    <cellStyle name="20% - Accent6 2 3" xfId="718" xr:uid="{00000000-0005-0000-0000-000022000000}"/>
    <cellStyle name="20% - Accent6 3" xfId="822" xr:uid="{00000000-0005-0000-0000-000023000000}"/>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2A000000}"/>
    <cellStyle name="40% - Accent1 2 2" xfId="603" xr:uid="{00000000-0005-0000-0000-00002B000000}"/>
    <cellStyle name="40% - Accent1 2 2 2" xfId="766" xr:uid="{00000000-0005-0000-0000-00002C000000}"/>
    <cellStyle name="40% - Accent1 2 3" xfId="719" xr:uid="{00000000-0005-0000-0000-00002D000000}"/>
    <cellStyle name="40% - Accent1 3" xfId="808" xr:uid="{00000000-0005-0000-0000-00002E000000}"/>
    <cellStyle name="40% - Accent2 2" xfId="13" xr:uid="{00000000-0005-0000-0000-00002F000000}"/>
    <cellStyle name="40% - Accent2 2 2" xfId="604" xr:uid="{00000000-0005-0000-0000-000030000000}"/>
    <cellStyle name="40% - Accent2 2 2 2" xfId="767" xr:uid="{00000000-0005-0000-0000-000031000000}"/>
    <cellStyle name="40% - Accent2 2 3" xfId="720" xr:uid="{00000000-0005-0000-0000-000032000000}"/>
    <cellStyle name="40% - Accent2 3" xfId="811" xr:uid="{00000000-0005-0000-0000-000033000000}"/>
    <cellStyle name="40% - Accent3 2" xfId="14" xr:uid="{00000000-0005-0000-0000-000034000000}"/>
    <cellStyle name="40% - Accent3 2 2" xfId="605" xr:uid="{00000000-0005-0000-0000-000035000000}"/>
    <cellStyle name="40% - Accent3 2 2 2" xfId="768" xr:uid="{00000000-0005-0000-0000-000036000000}"/>
    <cellStyle name="40% - Accent3 2 3" xfId="721" xr:uid="{00000000-0005-0000-0000-000037000000}"/>
    <cellStyle name="40% - Accent3 3" xfId="814" xr:uid="{00000000-0005-0000-0000-000038000000}"/>
    <cellStyle name="40% - Accent4 2" xfId="15" xr:uid="{00000000-0005-0000-0000-000039000000}"/>
    <cellStyle name="40% - Accent4 2 2" xfId="606" xr:uid="{00000000-0005-0000-0000-00003A000000}"/>
    <cellStyle name="40% - Accent4 2 2 2" xfId="769" xr:uid="{00000000-0005-0000-0000-00003B000000}"/>
    <cellStyle name="40% - Accent4 2 3" xfId="722" xr:uid="{00000000-0005-0000-0000-00003C000000}"/>
    <cellStyle name="40% - Accent4 3" xfId="817" xr:uid="{00000000-0005-0000-0000-00003D000000}"/>
    <cellStyle name="40% - Accent5 2" xfId="16" xr:uid="{00000000-0005-0000-0000-00003E000000}"/>
    <cellStyle name="40% - Accent5 2 2" xfId="607" xr:uid="{00000000-0005-0000-0000-00003F000000}"/>
    <cellStyle name="40% - Accent5 2 2 2" xfId="770" xr:uid="{00000000-0005-0000-0000-000040000000}"/>
    <cellStyle name="40% - Accent5 2 3" xfId="723" xr:uid="{00000000-0005-0000-0000-000041000000}"/>
    <cellStyle name="40% - Accent5 3" xfId="820" xr:uid="{00000000-0005-0000-0000-000042000000}"/>
    <cellStyle name="40% - Accent6 2" xfId="17" xr:uid="{00000000-0005-0000-0000-000043000000}"/>
    <cellStyle name="40% - Accent6 2 2" xfId="608" xr:uid="{00000000-0005-0000-0000-000044000000}"/>
    <cellStyle name="40% - Accent6 2 2 2" xfId="771" xr:uid="{00000000-0005-0000-0000-000045000000}"/>
    <cellStyle name="40% - Accent6 2 3" xfId="724" xr:uid="{00000000-0005-0000-0000-000046000000}"/>
    <cellStyle name="40% - Accent6 3" xfId="823" xr:uid="{00000000-0005-0000-0000-000047000000}"/>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4E000000}"/>
    <cellStyle name="60% - Accent1 2 2" xfId="609" xr:uid="{00000000-0005-0000-0000-00004F000000}"/>
    <cellStyle name="60% - Accent1 3" xfId="809" xr:uid="{00000000-0005-0000-0000-000050000000}"/>
    <cellStyle name="60% - Accent2 2" xfId="19" xr:uid="{00000000-0005-0000-0000-000051000000}"/>
    <cellStyle name="60% - Accent2 2 2" xfId="610" xr:uid="{00000000-0005-0000-0000-000052000000}"/>
    <cellStyle name="60% - Accent2 3" xfId="812" xr:uid="{00000000-0005-0000-0000-000053000000}"/>
    <cellStyle name="60% - Accent3 2" xfId="20" xr:uid="{00000000-0005-0000-0000-000054000000}"/>
    <cellStyle name="60% - Accent3 2 2" xfId="611" xr:uid="{00000000-0005-0000-0000-000055000000}"/>
    <cellStyle name="60% - Accent3 3" xfId="815" xr:uid="{00000000-0005-0000-0000-000056000000}"/>
    <cellStyle name="60% - Accent4 2" xfId="21" xr:uid="{00000000-0005-0000-0000-000057000000}"/>
    <cellStyle name="60% - Accent4 2 2" xfId="612" xr:uid="{00000000-0005-0000-0000-000058000000}"/>
    <cellStyle name="60% - Accent4 3" xfId="818" xr:uid="{00000000-0005-0000-0000-000059000000}"/>
    <cellStyle name="60% - Accent5 2" xfId="22" xr:uid="{00000000-0005-0000-0000-00005A000000}"/>
    <cellStyle name="60% - Accent5 2 2" xfId="613" xr:uid="{00000000-0005-0000-0000-00005B000000}"/>
    <cellStyle name="60% - Accent5 3" xfId="821" xr:uid="{00000000-0005-0000-0000-00005C000000}"/>
    <cellStyle name="60% - Accent6 2" xfId="23" xr:uid="{00000000-0005-0000-0000-00005D000000}"/>
    <cellStyle name="60% - Accent6 2 2" xfId="614" xr:uid="{00000000-0005-0000-0000-00005E000000}"/>
    <cellStyle name="60% - Accent6 3" xfId="824" xr:uid="{00000000-0005-0000-0000-00005F000000}"/>
    <cellStyle name="Accent1 2" xfId="24" xr:uid="{00000000-0005-0000-0000-000060000000}"/>
    <cellStyle name="Accent1 2 2" xfId="615" xr:uid="{00000000-0005-0000-0000-000061000000}"/>
    <cellStyle name="Accent2 2" xfId="25" xr:uid="{00000000-0005-0000-0000-000062000000}"/>
    <cellStyle name="Accent2 2 2" xfId="616" xr:uid="{00000000-0005-0000-0000-000063000000}"/>
    <cellStyle name="Accent3 2" xfId="26" xr:uid="{00000000-0005-0000-0000-000064000000}"/>
    <cellStyle name="Accent3 2 2" xfId="617" xr:uid="{00000000-0005-0000-0000-000065000000}"/>
    <cellStyle name="Accent4 2" xfId="27" xr:uid="{00000000-0005-0000-0000-000066000000}"/>
    <cellStyle name="Accent4 2 2" xfId="618" xr:uid="{00000000-0005-0000-0000-000067000000}"/>
    <cellStyle name="Accent5 2" xfId="28" xr:uid="{00000000-0005-0000-0000-000068000000}"/>
    <cellStyle name="Accent5 2 2" xfId="619" xr:uid="{00000000-0005-0000-0000-000069000000}"/>
    <cellStyle name="Accent6 2" xfId="29" xr:uid="{00000000-0005-0000-0000-00006A000000}"/>
    <cellStyle name="Accent6 2 2" xfId="620" xr:uid="{00000000-0005-0000-0000-00006B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73000000}"/>
    <cellStyle name="Bad 2 2" xfId="621" xr:uid="{00000000-0005-0000-0000-000074000000}"/>
    <cellStyle name="Bad 3" xfId="31" xr:uid="{00000000-0005-0000-0000-000075000000}"/>
    <cellStyle name="Bad 3 2" xfId="622" xr:uid="{00000000-0005-0000-0000-000076000000}"/>
    <cellStyle name="Berechnung" xfId="681" builtinId="22" customBuiltin="1"/>
    <cellStyle name="Calculation 2" xfId="32" xr:uid="{00000000-0005-0000-0000-000078000000}"/>
    <cellStyle name="Calculation 2 2" xfId="623" xr:uid="{00000000-0005-0000-0000-000079000000}"/>
    <cellStyle name="Check Cell 2" xfId="33" xr:uid="{00000000-0005-0000-0000-00007A000000}"/>
    <cellStyle name="Check Cell 2 2" xfId="624" xr:uid="{00000000-0005-0000-0000-00007B000000}"/>
    <cellStyle name="Comma" xfId="4" xr:uid="{00000000-0005-0000-0000-00007C000000}"/>
    <cellStyle name="Comma [0]" xfId="5" xr:uid="{00000000-0005-0000-0000-00007D000000}"/>
    <cellStyle name="Comma [0] 2" xfId="34" xr:uid="{00000000-0005-0000-0000-00007E000000}"/>
    <cellStyle name="Comma [0] 3" xfId="35" xr:uid="{00000000-0005-0000-0000-00007F000000}"/>
    <cellStyle name="Comma [0] 4" xfId="36" xr:uid="{00000000-0005-0000-0000-000080000000}"/>
    <cellStyle name="Comma 10" xfId="37" xr:uid="{00000000-0005-0000-0000-000081000000}"/>
    <cellStyle name="Comma 100" xfId="38" xr:uid="{00000000-0005-0000-0000-000082000000}"/>
    <cellStyle name="Comma 101" xfId="39" xr:uid="{00000000-0005-0000-0000-000083000000}"/>
    <cellStyle name="Comma 102" xfId="40" xr:uid="{00000000-0005-0000-0000-000084000000}"/>
    <cellStyle name="Comma 103" xfId="41" xr:uid="{00000000-0005-0000-0000-000085000000}"/>
    <cellStyle name="Comma 104" xfId="42" xr:uid="{00000000-0005-0000-0000-000086000000}"/>
    <cellStyle name="Comma 105" xfId="43" xr:uid="{00000000-0005-0000-0000-000087000000}"/>
    <cellStyle name="Comma 106" xfId="44" xr:uid="{00000000-0005-0000-0000-000088000000}"/>
    <cellStyle name="Comma 107" xfId="45" xr:uid="{00000000-0005-0000-0000-000089000000}"/>
    <cellStyle name="Comma 108" xfId="46" xr:uid="{00000000-0005-0000-0000-00008A000000}"/>
    <cellStyle name="Comma 109" xfId="47" xr:uid="{00000000-0005-0000-0000-00008B000000}"/>
    <cellStyle name="Comma 11" xfId="48" xr:uid="{00000000-0005-0000-0000-00008C000000}"/>
    <cellStyle name="Comma 110" xfId="49" xr:uid="{00000000-0005-0000-0000-00008D000000}"/>
    <cellStyle name="Comma 111" xfId="50" xr:uid="{00000000-0005-0000-0000-00008E000000}"/>
    <cellStyle name="Comma 112" xfId="51" xr:uid="{00000000-0005-0000-0000-00008F000000}"/>
    <cellStyle name="Comma 113" xfId="52" xr:uid="{00000000-0005-0000-0000-000090000000}"/>
    <cellStyle name="Comma 114" xfId="53" xr:uid="{00000000-0005-0000-0000-000091000000}"/>
    <cellStyle name="Comma 115" xfId="54" xr:uid="{00000000-0005-0000-0000-000092000000}"/>
    <cellStyle name="Comma 116" xfId="55" xr:uid="{00000000-0005-0000-0000-000093000000}"/>
    <cellStyle name="Comma 117" xfId="56" xr:uid="{00000000-0005-0000-0000-000094000000}"/>
    <cellStyle name="Comma 118" xfId="57" xr:uid="{00000000-0005-0000-0000-000095000000}"/>
    <cellStyle name="Comma 119" xfId="58" xr:uid="{00000000-0005-0000-0000-000096000000}"/>
    <cellStyle name="Comma 12" xfId="59" xr:uid="{00000000-0005-0000-0000-000097000000}"/>
    <cellStyle name="Comma 120" xfId="60" xr:uid="{00000000-0005-0000-0000-000098000000}"/>
    <cellStyle name="Comma 121" xfId="61" xr:uid="{00000000-0005-0000-0000-000099000000}"/>
    <cellStyle name="Comma 122" xfId="62" xr:uid="{00000000-0005-0000-0000-00009A000000}"/>
    <cellStyle name="Comma 123" xfId="63" xr:uid="{00000000-0005-0000-0000-00009B000000}"/>
    <cellStyle name="Comma 124" xfId="64" xr:uid="{00000000-0005-0000-0000-00009C000000}"/>
    <cellStyle name="Comma 125" xfId="65" xr:uid="{00000000-0005-0000-0000-00009D000000}"/>
    <cellStyle name="Comma 126" xfId="66" xr:uid="{00000000-0005-0000-0000-00009E000000}"/>
    <cellStyle name="Comma 127" xfId="67" xr:uid="{00000000-0005-0000-0000-00009F000000}"/>
    <cellStyle name="Comma 128" xfId="68" xr:uid="{00000000-0005-0000-0000-0000A0000000}"/>
    <cellStyle name="Comma 129" xfId="69" xr:uid="{00000000-0005-0000-0000-0000A1000000}"/>
    <cellStyle name="Comma 13" xfId="70" xr:uid="{00000000-0005-0000-0000-0000A2000000}"/>
    <cellStyle name="Comma 130" xfId="71" xr:uid="{00000000-0005-0000-0000-0000A3000000}"/>
    <cellStyle name="Comma 131" xfId="72" xr:uid="{00000000-0005-0000-0000-0000A4000000}"/>
    <cellStyle name="Comma 132" xfId="73" xr:uid="{00000000-0005-0000-0000-0000A5000000}"/>
    <cellStyle name="Comma 133" xfId="74" xr:uid="{00000000-0005-0000-0000-0000A6000000}"/>
    <cellStyle name="Comma 134" xfId="75" xr:uid="{00000000-0005-0000-0000-0000A7000000}"/>
    <cellStyle name="Comma 135" xfId="76" xr:uid="{00000000-0005-0000-0000-0000A8000000}"/>
    <cellStyle name="Comma 136" xfId="77" xr:uid="{00000000-0005-0000-0000-0000A9000000}"/>
    <cellStyle name="Comma 137" xfId="78" xr:uid="{00000000-0005-0000-0000-0000AA000000}"/>
    <cellStyle name="Comma 138" xfId="79" xr:uid="{00000000-0005-0000-0000-0000AB000000}"/>
    <cellStyle name="Comma 139" xfId="80" xr:uid="{00000000-0005-0000-0000-0000AC000000}"/>
    <cellStyle name="Comma 14" xfId="81" xr:uid="{00000000-0005-0000-0000-0000AD000000}"/>
    <cellStyle name="Comma 140" xfId="82" xr:uid="{00000000-0005-0000-0000-0000AE000000}"/>
    <cellStyle name="Comma 141" xfId="83" xr:uid="{00000000-0005-0000-0000-0000AF000000}"/>
    <cellStyle name="Comma 142" xfId="84" xr:uid="{00000000-0005-0000-0000-0000B0000000}"/>
    <cellStyle name="Comma 143" xfId="85" xr:uid="{00000000-0005-0000-0000-0000B1000000}"/>
    <cellStyle name="Comma 144" xfId="86" xr:uid="{00000000-0005-0000-0000-0000B2000000}"/>
    <cellStyle name="Comma 145" xfId="87" xr:uid="{00000000-0005-0000-0000-0000B3000000}"/>
    <cellStyle name="Comma 146" xfId="88" xr:uid="{00000000-0005-0000-0000-0000B4000000}"/>
    <cellStyle name="Comma 147" xfId="89" xr:uid="{00000000-0005-0000-0000-0000B5000000}"/>
    <cellStyle name="Comma 148" xfId="90" xr:uid="{00000000-0005-0000-0000-0000B6000000}"/>
    <cellStyle name="Comma 149" xfId="91" xr:uid="{00000000-0005-0000-0000-0000B7000000}"/>
    <cellStyle name="Comma 15" xfId="92" xr:uid="{00000000-0005-0000-0000-0000B8000000}"/>
    <cellStyle name="Comma 150" xfId="93" xr:uid="{00000000-0005-0000-0000-0000B9000000}"/>
    <cellStyle name="Comma 151" xfId="94" xr:uid="{00000000-0005-0000-0000-0000BA000000}"/>
    <cellStyle name="Comma 152" xfId="95" xr:uid="{00000000-0005-0000-0000-0000BB000000}"/>
    <cellStyle name="Comma 153" xfId="96" xr:uid="{00000000-0005-0000-0000-0000BC000000}"/>
    <cellStyle name="Comma 154" xfId="97" xr:uid="{00000000-0005-0000-0000-0000BD000000}"/>
    <cellStyle name="Comma 155" xfId="98" xr:uid="{00000000-0005-0000-0000-0000BE000000}"/>
    <cellStyle name="Comma 156" xfId="99" xr:uid="{00000000-0005-0000-0000-0000BF000000}"/>
    <cellStyle name="Comma 157" xfId="100" xr:uid="{00000000-0005-0000-0000-0000C0000000}"/>
    <cellStyle name="Comma 158" xfId="101" xr:uid="{00000000-0005-0000-0000-0000C1000000}"/>
    <cellStyle name="Comma 159" xfId="102" xr:uid="{00000000-0005-0000-0000-0000C2000000}"/>
    <cellStyle name="Comma 16" xfId="103" xr:uid="{00000000-0005-0000-0000-0000C3000000}"/>
    <cellStyle name="Comma 160" xfId="104" xr:uid="{00000000-0005-0000-0000-0000C4000000}"/>
    <cellStyle name="Comma 161" xfId="105" xr:uid="{00000000-0005-0000-0000-0000C5000000}"/>
    <cellStyle name="Comma 162" xfId="106" xr:uid="{00000000-0005-0000-0000-0000C6000000}"/>
    <cellStyle name="Comma 163" xfId="107" xr:uid="{00000000-0005-0000-0000-0000C7000000}"/>
    <cellStyle name="Comma 164" xfId="108" xr:uid="{00000000-0005-0000-0000-0000C8000000}"/>
    <cellStyle name="Comma 165" xfId="109" xr:uid="{00000000-0005-0000-0000-0000C9000000}"/>
    <cellStyle name="Comma 166" xfId="110" xr:uid="{00000000-0005-0000-0000-0000CA000000}"/>
    <cellStyle name="Comma 167" xfId="111" xr:uid="{00000000-0005-0000-0000-0000CB000000}"/>
    <cellStyle name="Comma 168" xfId="112" xr:uid="{00000000-0005-0000-0000-0000CC000000}"/>
    <cellStyle name="Comma 169" xfId="113" xr:uid="{00000000-0005-0000-0000-0000CD000000}"/>
    <cellStyle name="Comma 17" xfId="114" xr:uid="{00000000-0005-0000-0000-0000CE000000}"/>
    <cellStyle name="Comma 170" xfId="115" xr:uid="{00000000-0005-0000-0000-0000CF000000}"/>
    <cellStyle name="Comma 171" xfId="116" xr:uid="{00000000-0005-0000-0000-0000D0000000}"/>
    <cellStyle name="Comma 172" xfId="117" xr:uid="{00000000-0005-0000-0000-0000D1000000}"/>
    <cellStyle name="Comma 173" xfId="118" xr:uid="{00000000-0005-0000-0000-0000D2000000}"/>
    <cellStyle name="Comma 174" xfId="119" xr:uid="{00000000-0005-0000-0000-0000D3000000}"/>
    <cellStyle name="Comma 175" xfId="120" xr:uid="{00000000-0005-0000-0000-0000D4000000}"/>
    <cellStyle name="Comma 176" xfId="121" xr:uid="{00000000-0005-0000-0000-0000D5000000}"/>
    <cellStyle name="Comma 177" xfId="122" xr:uid="{00000000-0005-0000-0000-0000D6000000}"/>
    <cellStyle name="Comma 178" xfId="123" xr:uid="{00000000-0005-0000-0000-0000D7000000}"/>
    <cellStyle name="Comma 179" xfId="124" xr:uid="{00000000-0005-0000-0000-0000D8000000}"/>
    <cellStyle name="Comma 18" xfId="125" xr:uid="{00000000-0005-0000-0000-0000D9000000}"/>
    <cellStyle name="Comma 180" xfId="126" xr:uid="{00000000-0005-0000-0000-0000DA000000}"/>
    <cellStyle name="Comma 181" xfId="127" xr:uid="{00000000-0005-0000-0000-0000DB000000}"/>
    <cellStyle name="Comma 182" xfId="128" xr:uid="{00000000-0005-0000-0000-0000DC000000}"/>
    <cellStyle name="Comma 183" xfId="129" xr:uid="{00000000-0005-0000-0000-0000DD000000}"/>
    <cellStyle name="Comma 184" xfId="130" xr:uid="{00000000-0005-0000-0000-0000DE000000}"/>
    <cellStyle name="Comma 185" xfId="131" xr:uid="{00000000-0005-0000-0000-0000DF000000}"/>
    <cellStyle name="Comma 186" xfId="132" xr:uid="{00000000-0005-0000-0000-0000E0000000}"/>
    <cellStyle name="Comma 187" xfId="133" xr:uid="{00000000-0005-0000-0000-0000E1000000}"/>
    <cellStyle name="Comma 188" xfId="134" xr:uid="{00000000-0005-0000-0000-0000E2000000}"/>
    <cellStyle name="Comma 189" xfId="135" xr:uid="{00000000-0005-0000-0000-0000E3000000}"/>
    <cellStyle name="Comma 19" xfId="136" xr:uid="{00000000-0005-0000-0000-0000E4000000}"/>
    <cellStyle name="Comma 190" xfId="137" xr:uid="{00000000-0005-0000-0000-0000E5000000}"/>
    <cellStyle name="Comma 191" xfId="138" xr:uid="{00000000-0005-0000-0000-0000E6000000}"/>
    <cellStyle name="Comma 192" xfId="139" xr:uid="{00000000-0005-0000-0000-0000E7000000}"/>
    <cellStyle name="Comma 193" xfId="140" xr:uid="{00000000-0005-0000-0000-0000E8000000}"/>
    <cellStyle name="Comma 194" xfId="141" xr:uid="{00000000-0005-0000-0000-0000E9000000}"/>
    <cellStyle name="Comma 195" xfId="142" xr:uid="{00000000-0005-0000-0000-0000EA000000}"/>
    <cellStyle name="Comma 196" xfId="143" xr:uid="{00000000-0005-0000-0000-0000EB000000}"/>
    <cellStyle name="Comma 197" xfId="144" xr:uid="{00000000-0005-0000-0000-0000EC000000}"/>
    <cellStyle name="Comma 198" xfId="145" xr:uid="{00000000-0005-0000-0000-0000ED000000}"/>
    <cellStyle name="Comma 199" xfId="146" xr:uid="{00000000-0005-0000-0000-0000EE000000}"/>
    <cellStyle name="Comma 2" xfId="147" xr:uid="{00000000-0005-0000-0000-0000EF000000}"/>
    <cellStyle name="Comma 20" xfId="148" xr:uid="{00000000-0005-0000-0000-0000F0000000}"/>
    <cellStyle name="Comma 200" xfId="149" xr:uid="{00000000-0005-0000-0000-0000F1000000}"/>
    <cellStyle name="Comma 201" xfId="150" xr:uid="{00000000-0005-0000-0000-0000F2000000}"/>
    <cellStyle name="Comma 202" xfId="151" xr:uid="{00000000-0005-0000-0000-0000F3000000}"/>
    <cellStyle name="Comma 203" xfId="152" xr:uid="{00000000-0005-0000-0000-0000F4000000}"/>
    <cellStyle name="Comma 204" xfId="153" xr:uid="{00000000-0005-0000-0000-0000F5000000}"/>
    <cellStyle name="Comma 205" xfId="154" xr:uid="{00000000-0005-0000-0000-0000F6000000}"/>
    <cellStyle name="Comma 206" xfId="155" xr:uid="{00000000-0005-0000-0000-0000F7000000}"/>
    <cellStyle name="Comma 207" xfId="156" xr:uid="{00000000-0005-0000-0000-0000F8000000}"/>
    <cellStyle name="Comma 208" xfId="157" xr:uid="{00000000-0005-0000-0000-0000F9000000}"/>
    <cellStyle name="Comma 209" xfId="158" xr:uid="{00000000-0005-0000-0000-0000FA000000}"/>
    <cellStyle name="Comma 21" xfId="159" xr:uid="{00000000-0005-0000-0000-0000FB000000}"/>
    <cellStyle name="Comma 210" xfId="160" xr:uid="{00000000-0005-0000-0000-0000FC000000}"/>
    <cellStyle name="Comma 211" xfId="161" xr:uid="{00000000-0005-0000-0000-0000FD000000}"/>
    <cellStyle name="Comma 212" xfId="162" xr:uid="{00000000-0005-0000-0000-0000FE000000}"/>
    <cellStyle name="Comma 213" xfId="163" xr:uid="{00000000-0005-0000-0000-0000FF000000}"/>
    <cellStyle name="Comma 214" xfId="164" xr:uid="{00000000-0005-0000-0000-000000010000}"/>
    <cellStyle name="Comma 215" xfId="165" xr:uid="{00000000-0005-0000-0000-000001010000}"/>
    <cellStyle name="Comma 216" xfId="166" xr:uid="{00000000-0005-0000-0000-000002010000}"/>
    <cellStyle name="Comma 217" xfId="167" xr:uid="{00000000-0005-0000-0000-000003010000}"/>
    <cellStyle name="Comma 218" xfId="168" xr:uid="{00000000-0005-0000-0000-000004010000}"/>
    <cellStyle name="Comma 219" xfId="169" xr:uid="{00000000-0005-0000-0000-000005010000}"/>
    <cellStyle name="Comma 22" xfId="170" xr:uid="{00000000-0005-0000-0000-000006010000}"/>
    <cellStyle name="Comma 220" xfId="171" xr:uid="{00000000-0005-0000-0000-000007010000}"/>
    <cellStyle name="Comma 221" xfId="172" xr:uid="{00000000-0005-0000-0000-000008010000}"/>
    <cellStyle name="Comma 222" xfId="173" xr:uid="{00000000-0005-0000-0000-000009010000}"/>
    <cellStyle name="Comma 223" xfId="174" xr:uid="{00000000-0005-0000-0000-00000A010000}"/>
    <cellStyle name="Comma 23" xfId="175" xr:uid="{00000000-0005-0000-0000-00000B010000}"/>
    <cellStyle name="Comma 24" xfId="176" xr:uid="{00000000-0005-0000-0000-00000C010000}"/>
    <cellStyle name="Comma 25" xfId="177" xr:uid="{00000000-0005-0000-0000-00000D010000}"/>
    <cellStyle name="Comma 26" xfId="178" xr:uid="{00000000-0005-0000-0000-00000E010000}"/>
    <cellStyle name="Comma 27" xfId="179" xr:uid="{00000000-0005-0000-0000-00000F010000}"/>
    <cellStyle name="Comma 28" xfId="180" xr:uid="{00000000-0005-0000-0000-000010010000}"/>
    <cellStyle name="Comma 29" xfId="181" xr:uid="{00000000-0005-0000-0000-000011010000}"/>
    <cellStyle name="Comma 3" xfId="182" xr:uid="{00000000-0005-0000-0000-000012010000}"/>
    <cellStyle name="Comma 30" xfId="183" xr:uid="{00000000-0005-0000-0000-000013010000}"/>
    <cellStyle name="Comma 31" xfId="184" xr:uid="{00000000-0005-0000-0000-000014010000}"/>
    <cellStyle name="Comma 32" xfId="185" xr:uid="{00000000-0005-0000-0000-000015010000}"/>
    <cellStyle name="Comma 33" xfId="186" xr:uid="{00000000-0005-0000-0000-000016010000}"/>
    <cellStyle name="Comma 34" xfId="187" xr:uid="{00000000-0005-0000-0000-000017010000}"/>
    <cellStyle name="Comma 35" xfId="188" xr:uid="{00000000-0005-0000-0000-000018010000}"/>
    <cellStyle name="Comma 36" xfId="189" xr:uid="{00000000-0005-0000-0000-000019010000}"/>
    <cellStyle name="Comma 37" xfId="190" xr:uid="{00000000-0005-0000-0000-00001A010000}"/>
    <cellStyle name="Comma 38" xfId="191" xr:uid="{00000000-0005-0000-0000-00001B010000}"/>
    <cellStyle name="Comma 39" xfId="192" xr:uid="{00000000-0005-0000-0000-00001C010000}"/>
    <cellStyle name="Comma 4" xfId="193" xr:uid="{00000000-0005-0000-0000-00001D010000}"/>
    <cellStyle name="Comma 40" xfId="194" xr:uid="{00000000-0005-0000-0000-00001E010000}"/>
    <cellStyle name="Comma 41" xfId="195" xr:uid="{00000000-0005-0000-0000-00001F010000}"/>
    <cellStyle name="Comma 42" xfId="196" xr:uid="{00000000-0005-0000-0000-000020010000}"/>
    <cellStyle name="Comma 43" xfId="197" xr:uid="{00000000-0005-0000-0000-000021010000}"/>
    <cellStyle name="Comma 44" xfId="198" xr:uid="{00000000-0005-0000-0000-000022010000}"/>
    <cellStyle name="Comma 45" xfId="199" xr:uid="{00000000-0005-0000-0000-000023010000}"/>
    <cellStyle name="Comma 46" xfId="200" xr:uid="{00000000-0005-0000-0000-000024010000}"/>
    <cellStyle name="Comma 47" xfId="201" xr:uid="{00000000-0005-0000-0000-000025010000}"/>
    <cellStyle name="Comma 48" xfId="202" xr:uid="{00000000-0005-0000-0000-000026010000}"/>
    <cellStyle name="Comma 49" xfId="203" xr:uid="{00000000-0005-0000-0000-000027010000}"/>
    <cellStyle name="Comma 5" xfId="204" xr:uid="{00000000-0005-0000-0000-000028010000}"/>
    <cellStyle name="Comma 50" xfId="205" xr:uid="{00000000-0005-0000-0000-000029010000}"/>
    <cellStyle name="Comma 51" xfId="206" xr:uid="{00000000-0005-0000-0000-00002A010000}"/>
    <cellStyle name="Comma 52" xfId="207" xr:uid="{00000000-0005-0000-0000-00002B010000}"/>
    <cellStyle name="Comma 53" xfId="208" xr:uid="{00000000-0005-0000-0000-00002C010000}"/>
    <cellStyle name="Comma 54" xfId="209" xr:uid="{00000000-0005-0000-0000-00002D010000}"/>
    <cellStyle name="Comma 55" xfId="210" xr:uid="{00000000-0005-0000-0000-00002E010000}"/>
    <cellStyle name="Comma 56" xfId="211" xr:uid="{00000000-0005-0000-0000-00002F010000}"/>
    <cellStyle name="Comma 57" xfId="212" xr:uid="{00000000-0005-0000-0000-000030010000}"/>
    <cellStyle name="Comma 58" xfId="213" xr:uid="{00000000-0005-0000-0000-000031010000}"/>
    <cellStyle name="Comma 59" xfId="214" xr:uid="{00000000-0005-0000-0000-000032010000}"/>
    <cellStyle name="Comma 6" xfId="215" xr:uid="{00000000-0005-0000-0000-000033010000}"/>
    <cellStyle name="Comma 60" xfId="216" xr:uid="{00000000-0005-0000-0000-000034010000}"/>
    <cellStyle name="Comma 61" xfId="217" xr:uid="{00000000-0005-0000-0000-000035010000}"/>
    <cellStyle name="Comma 62" xfId="218" xr:uid="{00000000-0005-0000-0000-000036010000}"/>
    <cellStyle name="Comma 63" xfId="219" xr:uid="{00000000-0005-0000-0000-000037010000}"/>
    <cellStyle name="Comma 64" xfId="220" xr:uid="{00000000-0005-0000-0000-000038010000}"/>
    <cellStyle name="Comma 65" xfId="221" xr:uid="{00000000-0005-0000-0000-000039010000}"/>
    <cellStyle name="Comma 66" xfId="222" xr:uid="{00000000-0005-0000-0000-00003A010000}"/>
    <cellStyle name="Comma 67" xfId="223" xr:uid="{00000000-0005-0000-0000-00003B010000}"/>
    <cellStyle name="Comma 68" xfId="224" xr:uid="{00000000-0005-0000-0000-00003C010000}"/>
    <cellStyle name="Comma 69" xfId="225" xr:uid="{00000000-0005-0000-0000-00003D010000}"/>
    <cellStyle name="Comma 7" xfId="226" xr:uid="{00000000-0005-0000-0000-00003E010000}"/>
    <cellStyle name="Comma 70" xfId="227" xr:uid="{00000000-0005-0000-0000-00003F010000}"/>
    <cellStyle name="Comma 71" xfId="228" xr:uid="{00000000-0005-0000-0000-000040010000}"/>
    <cellStyle name="Comma 72" xfId="229" xr:uid="{00000000-0005-0000-0000-000041010000}"/>
    <cellStyle name="Comma 73" xfId="230" xr:uid="{00000000-0005-0000-0000-000042010000}"/>
    <cellStyle name="Comma 74" xfId="231" xr:uid="{00000000-0005-0000-0000-000043010000}"/>
    <cellStyle name="Comma 75" xfId="232" xr:uid="{00000000-0005-0000-0000-000044010000}"/>
    <cellStyle name="Comma 76" xfId="233" xr:uid="{00000000-0005-0000-0000-000045010000}"/>
    <cellStyle name="Comma 77" xfId="234" xr:uid="{00000000-0005-0000-0000-000046010000}"/>
    <cellStyle name="Comma 78" xfId="235" xr:uid="{00000000-0005-0000-0000-000047010000}"/>
    <cellStyle name="Comma 79" xfId="236" xr:uid="{00000000-0005-0000-0000-000048010000}"/>
    <cellStyle name="Comma 8" xfId="237" xr:uid="{00000000-0005-0000-0000-000049010000}"/>
    <cellStyle name="Comma 80" xfId="238" xr:uid="{00000000-0005-0000-0000-00004A010000}"/>
    <cellStyle name="Comma 81" xfId="239" xr:uid="{00000000-0005-0000-0000-00004B010000}"/>
    <cellStyle name="Comma 82" xfId="240" xr:uid="{00000000-0005-0000-0000-00004C010000}"/>
    <cellStyle name="Comma 83" xfId="241" xr:uid="{00000000-0005-0000-0000-00004D010000}"/>
    <cellStyle name="Comma 84" xfId="242" xr:uid="{00000000-0005-0000-0000-00004E010000}"/>
    <cellStyle name="Comma 85" xfId="243" xr:uid="{00000000-0005-0000-0000-00004F010000}"/>
    <cellStyle name="Comma 86" xfId="244" xr:uid="{00000000-0005-0000-0000-000050010000}"/>
    <cellStyle name="Comma 87" xfId="245" xr:uid="{00000000-0005-0000-0000-000051010000}"/>
    <cellStyle name="Comma 88" xfId="246" xr:uid="{00000000-0005-0000-0000-000052010000}"/>
    <cellStyle name="Comma 89" xfId="247" xr:uid="{00000000-0005-0000-0000-000053010000}"/>
    <cellStyle name="Comma 9" xfId="248" xr:uid="{00000000-0005-0000-0000-000054010000}"/>
    <cellStyle name="Comma 90" xfId="249" xr:uid="{00000000-0005-0000-0000-000055010000}"/>
    <cellStyle name="Comma 91" xfId="250" xr:uid="{00000000-0005-0000-0000-000056010000}"/>
    <cellStyle name="Comma 92" xfId="251" xr:uid="{00000000-0005-0000-0000-000057010000}"/>
    <cellStyle name="Comma 93" xfId="252" xr:uid="{00000000-0005-0000-0000-000058010000}"/>
    <cellStyle name="Comma 94" xfId="253" xr:uid="{00000000-0005-0000-0000-000059010000}"/>
    <cellStyle name="Comma 95" xfId="254" xr:uid="{00000000-0005-0000-0000-00005A010000}"/>
    <cellStyle name="Comma 96" xfId="255" xr:uid="{00000000-0005-0000-0000-00005B010000}"/>
    <cellStyle name="Comma 97" xfId="256" xr:uid="{00000000-0005-0000-0000-00005C010000}"/>
    <cellStyle name="Comma 98" xfId="257" xr:uid="{00000000-0005-0000-0000-00005D010000}"/>
    <cellStyle name="Comma 99" xfId="258" xr:uid="{00000000-0005-0000-0000-00005E010000}"/>
    <cellStyle name="Currency" xfId="2" xr:uid="{00000000-0005-0000-0000-00005F010000}"/>
    <cellStyle name="Currency [0]" xfId="3" xr:uid="{00000000-0005-0000-0000-000060010000}"/>
    <cellStyle name="Currency [0] 2" xfId="259" xr:uid="{00000000-0005-0000-0000-000061010000}"/>
    <cellStyle name="Currency [0] 3" xfId="260" xr:uid="{00000000-0005-0000-0000-000062010000}"/>
    <cellStyle name="Currency [0] 4" xfId="261" xr:uid="{00000000-0005-0000-0000-000063010000}"/>
    <cellStyle name="Currency [0] 5" xfId="262" xr:uid="{00000000-0005-0000-0000-000064010000}"/>
    <cellStyle name="Currency 10" xfId="263" xr:uid="{00000000-0005-0000-0000-000065010000}"/>
    <cellStyle name="Currency 100" xfId="264" xr:uid="{00000000-0005-0000-0000-000066010000}"/>
    <cellStyle name="Currency 101" xfId="265" xr:uid="{00000000-0005-0000-0000-000067010000}"/>
    <cellStyle name="Currency 102" xfId="266" xr:uid="{00000000-0005-0000-0000-000068010000}"/>
    <cellStyle name="Currency 103" xfId="267" xr:uid="{00000000-0005-0000-0000-000069010000}"/>
    <cellStyle name="Currency 104" xfId="268" xr:uid="{00000000-0005-0000-0000-00006A010000}"/>
    <cellStyle name="Currency 105" xfId="269" xr:uid="{00000000-0005-0000-0000-00006B010000}"/>
    <cellStyle name="Currency 106" xfId="270" xr:uid="{00000000-0005-0000-0000-00006C010000}"/>
    <cellStyle name="Currency 107" xfId="271" xr:uid="{00000000-0005-0000-0000-00006D010000}"/>
    <cellStyle name="Currency 108" xfId="272" xr:uid="{00000000-0005-0000-0000-00006E010000}"/>
    <cellStyle name="Currency 109" xfId="273" xr:uid="{00000000-0005-0000-0000-00006F010000}"/>
    <cellStyle name="Currency 11" xfId="274" xr:uid="{00000000-0005-0000-0000-000070010000}"/>
    <cellStyle name="Currency 110" xfId="275" xr:uid="{00000000-0005-0000-0000-000071010000}"/>
    <cellStyle name="Currency 111" xfId="276" xr:uid="{00000000-0005-0000-0000-000072010000}"/>
    <cellStyle name="Currency 112" xfId="277" xr:uid="{00000000-0005-0000-0000-000073010000}"/>
    <cellStyle name="Currency 113" xfId="278" xr:uid="{00000000-0005-0000-0000-000074010000}"/>
    <cellStyle name="Currency 114" xfId="279" xr:uid="{00000000-0005-0000-0000-000075010000}"/>
    <cellStyle name="Currency 115" xfId="280" xr:uid="{00000000-0005-0000-0000-000076010000}"/>
    <cellStyle name="Currency 116" xfId="281" xr:uid="{00000000-0005-0000-0000-000077010000}"/>
    <cellStyle name="Currency 117" xfId="282" xr:uid="{00000000-0005-0000-0000-000078010000}"/>
    <cellStyle name="Currency 118" xfId="283" xr:uid="{00000000-0005-0000-0000-000079010000}"/>
    <cellStyle name="Currency 119" xfId="284" xr:uid="{00000000-0005-0000-0000-00007A010000}"/>
    <cellStyle name="Currency 12" xfId="285" xr:uid="{00000000-0005-0000-0000-00007B010000}"/>
    <cellStyle name="Currency 120" xfId="286" xr:uid="{00000000-0005-0000-0000-00007C010000}"/>
    <cellStyle name="Currency 121" xfId="287" xr:uid="{00000000-0005-0000-0000-00007D010000}"/>
    <cellStyle name="Currency 122" xfId="288" xr:uid="{00000000-0005-0000-0000-00007E010000}"/>
    <cellStyle name="Currency 123" xfId="289" xr:uid="{00000000-0005-0000-0000-00007F010000}"/>
    <cellStyle name="Currency 124" xfId="290" xr:uid="{00000000-0005-0000-0000-000080010000}"/>
    <cellStyle name="Currency 125" xfId="291" xr:uid="{00000000-0005-0000-0000-000081010000}"/>
    <cellStyle name="Currency 126" xfId="292" xr:uid="{00000000-0005-0000-0000-000082010000}"/>
    <cellStyle name="Currency 127" xfId="293" xr:uid="{00000000-0005-0000-0000-000083010000}"/>
    <cellStyle name="Currency 128" xfId="294" xr:uid="{00000000-0005-0000-0000-000084010000}"/>
    <cellStyle name="Currency 129" xfId="295" xr:uid="{00000000-0005-0000-0000-000085010000}"/>
    <cellStyle name="Currency 13" xfId="296" xr:uid="{00000000-0005-0000-0000-000086010000}"/>
    <cellStyle name="Currency 130" xfId="297" xr:uid="{00000000-0005-0000-0000-000087010000}"/>
    <cellStyle name="Currency 131" xfId="298" xr:uid="{00000000-0005-0000-0000-000088010000}"/>
    <cellStyle name="Currency 132" xfId="299" xr:uid="{00000000-0005-0000-0000-000089010000}"/>
    <cellStyle name="Currency 133" xfId="300" xr:uid="{00000000-0005-0000-0000-00008A010000}"/>
    <cellStyle name="Currency 134" xfId="301" xr:uid="{00000000-0005-0000-0000-00008B010000}"/>
    <cellStyle name="Currency 135" xfId="302" xr:uid="{00000000-0005-0000-0000-00008C010000}"/>
    <cellStyle name="Currency 136" xfId="303" xr:uid="{00000000-0005-0000-0000-00008D010000}"/>
    <cellStyle name="Currency 137" xfId="304" xr:uid="{00000000-0005-0000-0000-00008E010000}"/>
    <cellStyle name="Currency 138" xfId="305" xr:uid="{00000000-0005-0000-0000-00008F010000}"/>
    <cellStyle name="Currency 139" xfId="306" xr:uid="{00000000-0005-0000-0000-000090010000}"/>
    <cellStyle name="Currency 14" xfId="307" xr:uid="{00000000-0005-0000-0000-000091010000}"/>
    <cellStyle name="Currency 140" xfId="308" xr:uid="{00000000-0005-0000-0000-000092010000}"/>
    <cellStyle name="Currency 141" xfId="309" xr:uid="{00000000-0005-0000-0000-000093010000}"/>
    <cellStyle name="Currency 142" xfId="310" xr:uid="{00000000-0005-0000-0000-000094010000}"/>
    <cellStyle name="Currency 143" xfId="311" xr:uid="{00000000-0005-0000-0000-000095010000}"/>
    <cellStyle name="Currency 144" xfId="312" xr:uid="{00000000-0005-0000-0000-000096010000}"/>
    <cellStyle name="Currency 145" xfId="313" xr:uid="{00000000-0005-0000-0000-000097010000}"/>
    <cellStyle name="Currency 146" xfId="314" xr:uid="{00000000-0005-0000-0000-000098010000}"/>
    <cellStyle name="Currency 147" xfId="315" xr:uid="{00000000-0005-0000-0000-000099010000}"/>
    <cellStyle name="Currency 148" xfId="316" xr:uid="{00000000-0005-0000-0000-00009A010000}"/>
    <cellStyle name="Currency 149" xfId="317" xr:uid="{00000000-0005-0000-0000-00009B010000}"/>
    <cellStyle name="Currency 15" xfId="318" xr:uid="{00000000-0005-0000-0000-00009C010000}"/>
    <cellStyle name="Currency 150" xfId="319" xr:uid="{00000000-0005-0000-0000-00009D010000}"/>
    <cellStyle name="Currency 151" xfId="320" xr:uid="{00000000-0005-0000-0000-00009E010000}"/>
    <cellStyle name="Currency 152" xfId="321" xr:uid="{00000000-0005-0000-0000-00009F010000}"/>
    <cellStyle name="Currency 153" xfId="322" xr:uid="{00000000-0005-0000-0000-0000A0010000}"/>
    <cellStyle name="Currency 154" xfId="323" xr:uid="{00000000-0005-0000-0000-0000A1010000}"/>
    <cellStyle name="Currency 155" xfId="324" xr:uid="{00000000-0005-0000-0000-0000A2010000}"/>
    <cellStyle name="Currency 156" xfId="325" xr:uid="{00000000-0005-0000-0000-0000A3010000}"/>
    <cellStyle name="Currency 157" xfId="326" xr:uid="{00000000-0005-0000-0000-0000A4010000}"/>
    <cellStyle name="Currency 158" xfId="327" xr:uid="{00000000-0005-0000-0000-0000A5010000}"/>
    <cellStyle name="Currency 159" xfId="328" xr:uid="{00000000-0005-0000-0000-0000A6010000}"/>
    <cellStyle name="Currency 16" xfId="329" xr:uid="{00000000-0005-0000-0000-0000A7010000}"/>
    <cellStyle name="Currency 160" xfId="330" xr:uid="{00000000-0005-0000-0000-0000A8010000}"/>
    <cellStyle name="Currency 161" xfId="331" xr:uid="{00000000-0005-0000-0000-0000A9010000}"/>
    <cellStyle name="Currency 162" xfId="332" xr:uid="{00000000-0005-0000-0000-0000AA010000}"/>
    <cellStyle name="Currency 163" xfId="333" xr:uid="{00000000-0005-0000-0000-0000AB010000}"/>
    <cellStyle name="Currency 164" xfId="334" xr:uid="{00000000-0005-0000-0000-0000AC010000}"/>
    <cellStyle name="Currency 165" xfId="335" xr:uid="{00000000-0005-0000-0000-0000AD010000}"/>
    <cellStyle name="Currency 166" xfId="336" xr:uid="{00000000-0005-0000-0000-0000AE010000}"/>
    <cellStyle name="Currency 167" xfId="337" xr:uid="{00000000-0005-0000-0000-0000AF010000}"/>
    <cellStyle name="Currency 168" xfId="338" xr:uid="{00000000-0005-0000-0000-0000B0010000}"/>
    <cellStyle name="Currency 169" xfId="339" xr:uid="{00000000-0005-0000-0000-0000B1010000}"/>
    <cellStyle name="Currency 17" xfId="340" xr:uid="{00000000-0005-0000-0000-0000B2010000}"/>
    <cellStyle name="Currency 170" xfId="341" xr:uid="{00000000-0005-0000-0000-0000B3010000}"/>
    <cellStyle name="Currency 171" xfId="342" xr:uid="{00000000-0005-0000-0000-0000B4010000}"/>
    <cellStyle name="Currency 172" xfId="343" xr:uid="{00000000-0005-0000-0000-0000B5010000}"/>
    <cellStyle name="Currency 173" xfId="344" xr:uid="{00000000-0005-0000-0000-0000B6010000}"/>
    <cellStyle name="Currency 174" xfId="345" xr:uid="{00000000-0005-0000-0000-0000B7010000}"/>
    <cellStyle name="Currency 175" xfId="346" xr:uid="{00000000-0005-0000-0000-0000B8010000}"/>
    <cellStyle name="Currency 176" xfId="347" xr:uid="{00000000-0005-0000-0000-0000B9010000}"/>
    <cellStyle name="Currency 177" xfId="348" xr:uid="{00000000-0005-0000-0000-0000BA010000}"/>
    <cellStyle name="Currency 178" xfId="349" xr:uid="{00000000-0005-0000-0000-0000BB010000}"/>
    <cellStyle name="Currency 179" xfId="350" xr:uid="{00000000-0005-0000-0000-0000BC010000}"/>
    <cellStyle name="Currency 18" xfId="351" xr:uid="{00000000-0005-0000-0000-0000BD010000}"/>
    <cellStyle name="Currency 180" xfId="352" xr:uid="{00000000-0005-0000-0000-0000BE010000}"/>
    <cellStyle name="Currency 181" xfId="353" xr:uid="{00000000-0005-0000-0000-0000BF010000}"/>
    <cellStyle name="Currency 182" xfId="354" xr:uid="{00000000-0005-0000-0000-0000C0010000}"/>
    <cellStyle name="Currency 183" xfId="355" xr:uid="{00000000-0005-0000-0000-0000C1010000}"/>
    <cellStyle name="Currency 184" xfId="356" xr:uid="{00000000-0005-0000-0000-0000C2010000}"/>
    <cellStyle name="Currency 185" xfId="357" xr:uid="{00000000-0005-0000-0000-0000C3010000}"/>
    <cellStyle name="Currency 186" xfId="358" xr:uid="{00000000-0005-0000-0000-0000C4010000}"/>
    <cellStyle name="Currency 187" xfId="359" xr:uid="{00000000-0005-0000-0000-0000C5010000}"/>
    <cellStyle name="Currency 188" xfId="360" xr:uid="{00000000-0005-0000-0000-0000C6010000}"/>
    <cellStyle name="Currency 189" xfId="361" xr:uid="{00000000-0005-0000-0000-0000C7010000}"/>
    <cellStyle name="Currency 19" xfId="362" xr:uid="{00000000-0005-0000-0000-0000C8010000}"/>
    <cellStyle name="Currency 190" xfId="363" xr:uid="{00000000-0005-0000-0000-0000C9010000}"/>
    <cellStyle name="Currency 191" xfId="364" xr:uid="{00000000-0005-0000-0000-0000CA010000}"/>
    <cellStyle name="Currency 192" xfId="365" xr:uid="{00000000-0005-0000-0000-0000CB010000}"/>
    <cellStyle name="Currency 193" xfId="366" xr:uid="{00000000-0005-0000-0000-0000CC010000}"/>
    <cellStyle name="Currency 194" xfId="367" xr:uid="{00000000-0005-0000-0000-0000CD010000}"/>
    <cellStyle name="Currency 195" xfId="368" xr:uid="{00000000-0005-0000-0000-0000CE010000}"/>
    <cellStyle name="Currency 196" xfId="369" xr:uid="{00000000-0005-0000-0000-0000CF010000}"/>
    <cellStyle name="Currency 197" xfId="370" xr:uid="{00000000-0005-0000-0000-0000D0010000}"/>
    <cellStyle name="Currency 198" xfId="371" xr:uid="{00000000-0005-0000-0000-0000D1010000}"/>
    <cellStyle name="Currency 199" xfId="372" xr:uid="{00000000-0005-0000-0000-0000D2010000}"/>
    <cellStyle name="Currency 2" xfId="373" xr:uid="{00000000-0005-0000-0000-0000D3010000}"/>
    <cellStyle name="Currency 20" xfId="374" xr:uid="{00000000-0005-0000-0000-0000D4010000}"/>
    <cellStyle name="Currency 200" xfId="375" xr:uid="{00000000-0005-0000-0000-0000D5010000}"/>
    <cellStyle name="Currency 201" xfId="376" xr:uid="{00000000-0005-0000-0000-0000D6010000}"/>
    <cellStyle name="Currency 202" xfId="377" xr:uid="{00000000-0005-0000-0000-0000D7010000}"/>
    <cellStyle name="Currency 203" xfId="378" xr:uid="{00000000-0005-0000-0000-0000D8010000}"/>
    <cellStyle name="Currency 204" xfId="379" xr:uid="{00000000-0005-0000-0000-0000D9010000}"/>
    <cellStyle name="Currency 205" xfId="380" xr:uid="{00000000-0005-0000-0000-0000DA010000}"/>
    <cellStyle name="Currency 206" xfId="381" xr:uid="{00000000-0005-0000-0000-0000DB010000}"/>
    <cellStyle name="Currency 207" xfId="382" xr:uid="{00000000-0005-0000-0000-0000DC010000}"/>
    <cellStyle name="Currency 208" xfId="383" xr:uid="{00000000-0005-0000-0000-0000DD010000}"/>
    <cellStyle name="Currency 209" xfId="384" xr:uid="{00000000-0005-0000-0000-0000DE010000}"/>
    <cellStyle name="Currency 21" xfId="385" xr:uid="{00000000-0005-0000-0000-0000DF010000}"/>
    <cellStyle name="Currency 210" xfId="386" xr:uid="{00000000-0005-0000-0000-0000E0010000}"/>
    <cellStyle name="Currency 211" xfId="387" xr:uid="{00000000-0005-0000-0000-0000E1010000}"/>
    <cellStyle name="Currency 212" xfId="388" xr:uid="{00000000-0005-0000-0000-0000E2010000}"/>
    <cellStyle name="Currency 213" xfId="389" xr:uid="{00000000-0005-0000-0000-0000E3010000}"/>
    <cellStyle name="Currency 214" xfId="390" xr:uid="{00000000-0005-0000-0000-0000E4010000}"/>
    <cellStyle name="Currency 215" xfId="391" xr:uid="{00000000-0005-0000-0000-0000E5010000}"/>
    <cellStyle name="Currency 216" xfId="392" xr:uid="{00000000-0005-0000-0000-0000E6010000}"/>
    <cellStyle name="Currency 217" xfId="393" xr:uid="{00000000-0005-0000-0000-0000E7010000}"/>
    <cellStyle name="Currency 218" xfId="394" xr:uid="{00000000-0005-0000-0000-0000E8010000}"/>
    <cellStyle name="Currency 219" xfId="395" xr:uid="{00000000-0005-0000-0000-0000E9010000}"/>
    <cellStyle name="Currency 22" xfId="396" xr:uid="{00000000-0005-0000-0000-0000EA010000}"/>
    <cellStyle name="Currency 220" xfId="397" xr:uid="{00000000-0005-0000-0000-0000EB010000}"/>
    <cellStyle name="Currency 221" xfId="398" xr:uid="{00000000-0005-0000-0000-0000EC010000}"/>
    <cellStyle name="Currency 222" xfId="399" xr:uid="{00000000-0005-0000-0000-0000ED010000}"/>
    <cellStyle name="Currency 223" xfId="400" xr:uid="{00000000-0005-0000-0000-0000EE010000}"/>
    <cellStyle name="Currency 23" xfId="401" xr:uid="{00000000-0005-0000-0000-0000EF010000}"/>
    <cellStyle name="Currency 24" xfId="402" xr:uid="{00000000-0005-0000-0000-0000F0010000}"/>
    <cellStyle name="Currency 25" xfId="403" xr:uid="{00000000-0005-0000-0000-0000F1010000}"/>
    <cellStyle name="Currency 26" xfId="404" xr:uid="{00000000-0005-0000-0000-0000F2010000}"/>
    <cellStyle name="Currency 27" xfId="405" xr:uid="{00000000-0005-0000-0000-0000F3010000}"/>
    <cellStyle name="Currency 28" xfId="406" xr:uid="{00000000-0005-0000-0000-0000F4010000}"/>
    <cellStyle name="Currency 29" xfId="407" xr:uid="{00000000-0005-0000-0000-0000F5010000}"/>
    <cellStyle name="Currency 3" xfId="408" xr:uid="{00000000-0005-0000-0000-0000F6010000}"/>
    <cellStyle name="Currency 30" xfId="409" xr:uid="{00000000-0005-0000-0000-0000F7010000}"/>
    <cellStyle name="Currency 31" xfId="410" xr:uid="{00000000-0005-0000-0000-0000F8010000}"/>
    <cellStyle name="Currency 32" xfId="411" xr:uid="{00000000-0005-0000-0000-0000F9010000}"/>
    <cellStyle name="Currency 33" xfId="412" xr:uid="{00000000-0005-0000-0000-0000FA010000}"/>
    <cellStyle name="Currency 34" xfId="413" xr:uid="{00000000-0005-0000-0000-0000FB010000}"/>
    <cellStyle name="Currency 35" xfId="414" xr:uid="{00000000-0005-0000-0000-0000FC010000}"/>
    <cellStyle name="Currency 36" xfId="415" xr:uid="{00000000-0005-0000-0000-0000FD010000}"/>
    <cellStyle name="Currency 37" xfId="416" xr:uid="{00000000-0005-0000-0000-0000FE010000}"/>
    <cellStyle name="Currency 38" xfId="417" xr:uid="{00000000-0005-0000-0000-0000FF010000}"/>
    <cellStyle name="Currency 39" xfId="418" xr:uid="{00000000-0005-0000-0000-000000020000}"/>
    <cellStyle name="Currency 4" xfId="419" xr:uid="{00000000-0005-0000-0000-000001020000}"/>
    <cellStyle name="Currency 40" xfId="420" xr:uid="{00000000-0005-0000-0000-000002020000}"/>
    <cellStyle name="Currency 41" xfId="421" xr:uid="{00000000-0005-0000-0000-000003020000}"/>
    <cellStyle name="Currency 42" xfId="422" xr:uid="{00000000-0005-0000-0000-000004020000}"/>
    <cellStyle name="Currency 43" xfId="423" xr:uid="{00000000-0005-0000-0000-000005020000}"/>
    <cellStyle name="Currency 44" xfId="424" xr:uid="{00000000-0005-0000-0000-000006020000}"/>
    <cellStyle name="Currency 45" xfId="425" xr:uid="{00000000-0005-0000-0000-000007020000}"/>
    <cellStyle name="Currency 46" xfId="426" xr:uid="{00000000-0005-0000-0000-000008020000}"/>
    <cellStyle name="Currency 47" xfId="427" xr:uid="{00000000-0005-0000-0000-000009020000}"/>
    <cellStyle name="Currency 48" xfId="428" xr:uid="{00000000-0005-0000-0000-00000A020000}"/>
    <cellStyle name="Currency 49" xfId="429" xr:uid="{00000000-0005-0000-0000-00000B020000}"/>
    <cellStyle name="Currency 5" xfId="430" xr:uid="{00000000-0005-0000-0000-00000C020000}"/>
    <cellStyle name="Currency 50" xfId="431" xr:uid="{00000000-0005-0000-0000-00000D020000}"/>
    <cellStyle name="Currency 51" xfId="432" xr:uid="{00000000-0005-0000-0000-00000E020000}"/>
    <cellStyle name="Currency 52" xfId="433" xr:uid="{00000000-0005-0000-0000-00000F020000}"/>
    <cellStyle name="Currency 53" xfId="434" xr:uid="{00000000-0005-0000-0000-000010020000}"/>
    <cellStyle name="Currency 54" xfId="435" xr:uid="{00000000-0005-0000-0000-000011020000}"/>
    <cellStyle name="Currency 55" xfId="436" xr:uid="{00000000-0005-0000-0000-000012020000}"/>
    <cellStyle name="Currency 56" xfId="437" xr:uid="{00000000-0005-0000-0000-000013020000}"/>
    <cellStyle name="Currency 57" xfId="438" xr:uid="{00000000-0005-0000-0000-000014020000}"/>
    <cellStyle name="Currency 58" xfId="439" xr:uid="{00000000-0005-0000-0000-000015020000}"/>
    <cellStyle name="Currency 59" xfId="440" xr:uid="{00000000-0005-0000-0000-000016020000}"/>
    <cellStyle name="Currency 6" xfId="441" xr:uid="{00000000-0005-0000-0000-000017020000}"/>
    <cellStyle name="Currency 60" xfId="442" xr:uid="{00000000-0005-0000-0000-000018020000}"/>
    <cellStyle name="Currency 61" xfId="443" xr:uid="{00000000-0005-0000-0000-000019020000}"/>
    <cellStyle name="Currency 62" xfId="444" xr:uid="{00000000-0005-0000-0000-00001A020000}"/>
    <cellStyle name="Currency 63" xfId="445" xr:uid="{00000000-0005-0000-0000-00001B020000}"/>
    <cellStyle name="Currency 64" xfId="446" xr:uid="{00000000-0005-0000-0000-00001C020000}"/>
    <cellStyle name="Currency 65" xfId="447" xr:uid="{00000000-0005-0000-0000-00001D020000}"/>
    <cellStyle name="Currency 66" xfId="448" xr:uid="{00000000-0005-0000-0000-00001E020000}"/>
    <cellStyle name="Currency 67" xfId="449" xr:uid="{00000000-0005-0000-0000-00001F020000}"/>
    <cellStyle name="Currency 68" xfId="450" xr:uid="{00000000-0005-0000-0000-000020020000}"/>
    <cellStyle name="Currency 69" xfId="451" xr:uid="{00000000-0005-0000-0000-000021020000}"/>
    <cellStyle name="Currency 7" xfId="452" xr:uid="{00000000-0005-0000-0000-000022020000}"/>
    <cellStyle name="Currency 70" xfId="453" xr:uid="{00000000-0005-0000-0000-000023020000}"/>
    <cellStyle name="Currency 71" xfId="454" xr:uid="{00000000-0005-0000-0000-000024020000}"/>
    <cellStyle name="Currency 72" xfId="455" xr:uid="{00000000-0005-0000-0000-000025020000}"/>
    <cellStyle name="Currency 73" xfId="456" xr:uid="{00000000-0005-0000-0000-000026020000}"/>
    <cellStyle name="Currency 74" xfId="457" xr:uid="{00000000-0005-0000-0000-000027020000}"/>
    <cellStyle name="Currency 75" xfId="458" xr:uid="{00000000-0005-0000-0000-000028020000}"/>
    <cellStyle name="Currency 76" xfId="459" xr:uid="{00000000-0005-0000-0000-000029020000}"/>
    <cellStyle name="Currency 77" xfId="460" xr:uid="{00000000-0005-0000-0000-00002A020000}"/>
    <cellStyle name="Currency 78" xfId="461" xr:uid="{00000000-0005-0000-0000-00002B020000}"/>
    <cellStyle name="Currency 79" xfId="462" xr:uid="{00000000-0005-0000-0000-00002C020000}"/>
    <cellStyle name="Currency 8" xfId="463" xr:uid="{00000000-0005-0000-0000-00002D020000}"/>
    <cellStyle name="Currency 80" xfId="464" xr:uid="{00000000-0005-0000-0000-00002E020000}"/>
    <cellStyle name="Currency 81" xfId="465" xr:uid="{00000000-0005-0000-0000-00002F020000}"/>
    <cellStyle name="Currency 82" xfId="466" xr:uid="{00000000-0005-0000-0000-000030020000}"/>
    <cellStyle name="Currency 83" xfId="467" xr:uid="{00000000-0005-0000-0000-000031020000}"/>
    <cellStyle name="Currency 84" xfId="468" xr:uid="{00000000-0005-0000-0000-000032020000}"/>
    <cellStyle name="Currency 85" xfId="469" xr:uid="{00000000-0005-0000-0000-000033020000}"/>
    <cellStyle name="Currency 86" xfId="470" xr:uid="{00000000-0005-0000-0000-000034020000}"/>
    <cellStyle name="Currency 87" xfId="471" xr:uid="{00000000-0005-0000-0000-000035020000}"/>
    <cellStyle name="Currency 88" xfId="472" xr:uid="{00000000-0005-0000-0000-000036020000}"/>
    <cellStyle name="Currency 89" xfId="473" xr:uid="{00000000-0005-0000-0000-000037020000}"/>
    <cellStyle name="Currency 9" xfId="474" xr:uid="{00000000-0005-0000-0000-000038020000}"/>
    <cellStyle name="Currency 90" xfId="475" xr:uid="{00000000-0005-0000-0000-000039020000}"/>
    <cellStyle name="Currency 91" xfId="476" xr:uid="{00000000-0005-0000-0000-00003A020000}"/>
    <cellStyle name="Currency 92" xfId="477" xr:uid="{00000000-0005-0000-0000-00003B020000}"/>
    <cellStyle name="Currency 93" xfId="478" xr:uid="{00000000-0005-0000-0000-00003C020000}"/>
    <cellStyle name="Currency 94" xfId="479" xr:uid="{00000000-0005-0000-0000-00003D020000}"/>
    <cellStyle name="Currency 95" xfId="480" xr:uid="{00000000-0005-0000-0000-00003E020000}"/>
    <cellStyle name="Currency 96" xfId="481" xr:uid="{00000000-0005-0000-0000-00003F020000}"/>
    <cellStyle name="Currency 97" xfId="482" xr:uid="{00000000-0005-0000-0000-000040020000}"/>
    <cellStyle name="Currency 98" xfId="483" xr:uid="{00000000-0005-0000-0000-000041020000}"/>
    <cellStyle name="Currency 99" xfId="484" xr:uid="{00000000-0005-0000-0000-000042020000}"/>
    <cellStyle name="Eingabe" xfId="679" builtinId="20" customBuiltin="1"/>
    <cellStyle name="Ergebnis" xfId="686" builtinId="25" customBuiltin="1"/>
    <cellStyle name="Erklärender Text" xfId="685" builtinId="53" customBuiltin="1"/>
    <cellStyle name="Excel Built-in Normal" xfId="485" xr:uid="{00000000-0005-0000-0000-000046020000}"/>
    <cellStyle name="Explanatory Text 2" xfId="486" xr:uid="{00000000-0005-0000-0000-000047020000}"/>
    <cellStyle name="Good 2" xfId="487" xr:uid="{00000000-0005-0000-0000-000048020000}"/>
    <cellStyle name="Good 2 2" xfId="625" xr:uid="{00000000-0005-0000-0000-000049020000}"/>
    <cellStyle name="Gut" xfId="676" builtinId="26" customBuiltin="1"/>
    <cellStyle name="Heading 1 2" xfId="488" xr:uid="{00000000-0005-0000-0000-00004B020000}"/>
    <cellStyle name="Heading 2 2" xfId="489" xr:uid="{00000000-0005-0000-0000-00004C020000}"/>
    <cellStyle name="Heading 2 2 2" xfId="626" xr:uid="{00000000-0005-0000-0000-00004D020000}"/>
    <cellStyle name="Heading 3 2" xfId="490" xr:uid="{00000000-0005-0000-0000-00004E020000}"/>
    <cellStyle name="Heading 4 2" xfId="491" xr:uid="{00000000-0005-0000-0000-00004F020000}"/>
    <cellStyle name="Hyperlink" xfId="492" xr:uid="{00000000-0005-0000-0000-000050020000}"/>
    <cellStyle name="Hyperlink 2" xfId="493" xr:uid="{00000000-0005-0000-0000-000051020000}"/>
    <cellStyle name="Hyperlink 2 2" xfId="628" xr:uid="{00000000-0005-0000-0000-000052020000}"/>
    <cellStyle name="Hyperlink 3" xfId="494" xr:uid="{00000000-0005-0000-0000-000053020000}"/>
    <cellStyle name="Hyperlink 4" xfId="495" xr:uid="{00000000-0005-0000-0000-000054020000}"/>
    <cellStyle name="Hyperlink 4 2" xfId="629" xr:uid="{00000000-0005-0000-0000-000055020000}"/>
    <cellStyle name="Hyperlink 5" xfId="496" xr:uid="{00000000-0005-0000-0000-000056020000}"/>
    <cellStyle name="Hyperlink 5 2" xfId="497" xr:uid="{00000000-0005-0000-0000-000057020000}"/>
    <cellStyle name="Hyperlink 5 3" xfId="630" xr:uid="{00000000-0005-0000-0000-000058020000}"/>
    <cellStyle name="Hyperlink 6" xfId="498" xr:uid="{00000000-0005-0000-0000-000059020000}"/>
    <cellStyle name="Hyperlink 6 2" xfId="631" xr:uid="{00000000-0005-0000-0000-00005A020000}"/>
    <cellStyle name="Hyperlink 7" xfId="499" xr:uid="{00000000-0005-0000-0000-00005B020000}"/>
    <cellStyle name="Hyperlink 7 2" xfId="632" xr:uid="{00000000-0005-0000-0000-00005C020000}"/>
    <cellStyle name="Hyperlink 8" xfId="627" xr:uid="{00000000-0005-0000-0000-00005D020000}"/>
    <cellStyle name="Input 2" xfId="500" xr:uid="{00000000-0005-0000-0000-00005E020000}"/>
    <cellStyle name="Input 2 2" xfId="633" xr:uid="{00000000-0005-0000-0000-00005F020000}"/>
    <cellStyle name="Link" xfId="829" builtinId="8"/>
    <cellStyle name="Linked Cell 2" xfId="501" xr:uid="{00000000-0005-0000-0000-000061020000}"/>
    <cellStyle name="Neutral" xfId="678" builtinId="28" customBuiltin="1"/>
    <cellStyle name="Neutral 2" xfId="502" xr:uid="{00000000-0005-0000-0000-000063020000}"/>
    <cellStyle name="Neutral 2 2" xfId="634" xr:uid="{00000000-0005-0000-0000-000064020000}"/>
    <cellStyle name="Normal 10" xfId="503" xr:uid="{00000000-0005-0000-0000-000065020000}"/>
    <cellStyle name="Normal 100" xfId="504" xr:uid="{00000000-0005-0000-0000-000066020000}"/>
    <cellStyle name="Normal 118" xfId="505" xr:uid="{00000000-0005-0000-0000-000067020000}"/>
    <cellStyle name="Normal 12" xfId="506" xr:uid="{00000000-0005-0000-0000-000068020000}"/>
    <cellStyle name="Normal 13" xfId="507" xr:uid="{00000000-0005-0000-0000-000069020000}"/>
    <cellStyle name="Normal 13 2" xfId="508" xr:uid="{00000000-0005-0000-0000-00006A020000}"/>
    <cellStyle name="Normal 13 2 2" xfId="509" xr:uid="{00000000-0005-0000-0000-00006B020000}"/>
    <cellStyle name="Normal 13 2 2 2" xfId="510" xr:uid="{00000000-0005-0000-0000-00006C020000}"/>
    <cellStyle name="Normal 13 2 2 2 2" xfId="511" xr:uid="{00000000-0005-0000-0000-00006D020000}"/>
    <cellStyle name="Normal 13 2 2 2 2 2" xfId="639" xr:uid="{00000000-0005-0000-0000-00006E020000}"/>
    <cellStyle name="Normal 13 2 2 2 2 2 2" xfId="776" xr:uid="{00000000-0005-0000-0000-00006F020000}"/>
    <cellStyle name="Normal 13 2 2 2 2 3" xfId="729" xr:uid="{00000000-0005-0000-0000-000070020000}"/>
    <cellStyle name="Normal 13 2 2 2 3" xfId="512" xr:uid="{00000000-0005-0000-0000-000071020000}"/>
    <cellStyle name="Normal 13 2 2 2 3 2" xfId="640" xr:uid="{00000000-0005-0000-0000-000072020000}"/>
    <cellStyle name="Normal 13 2 2 2 3 2 2" xfId="777" xr:uid="{00000000-0005-0000-0000-000073020000}"/>
    <cellStyle name="Normal 13 2 2 2 3 3" xfId="730" xr:uid="{00000000-0005-0000-0000-000074020000}"/>
    <cellStyle name="Normal 13 2 2 2 4" xfId="638" xr:uid="{00000000-0005-0000-0000-000075020000}"/>
    <cellStyle name="Normal 13 2 2 2 4 2" xfId="775" xr:uid="{00000000-0005-0000-0000-000076020000}"/>
    <cellStyle name="Normal 13 2 2 2 5" xfId="728" xr:uid="{00000000-0005-0000-0000-000077020000}"/>
    <cellStyle name="Normal 13 2 2 3" xfId="637" xr:uid="{00000000-0005-0000-0000-000078020000}"/>
    <cellStyle name="Normal 13 2 2 3 2" xfId="774" xr:uid="{00000000-0005-0000-0000-000079020000}"/>
    <cellStyle name="Normal 13 2 2 4" xfId="727" xr:uid="{00000000-0005-0000-0000-00007A020000}"/>
    <cellStyle name="Normal 13 2 3" xfId="513" xr:uid="{00000000-0005-0000-0000-00007B020000}"/>
    <cellStyle name="Normal 13 2 3 2" xfId="641" xr:uid="{00000000-0005-0000-0000-00007C020000}"/>
    <cellStyle name="Normal 13 2 3 2 2" xfId="778" xr:uid="{00000000-0005-0000-0000-00007D020000}"/>
    <cellStyle name="Normal 13 2 3 3" xfId="731" xr:uid="{00000000-0005-0000-0000-00007E020000}"/>
    <cellStyle name="Normal 13 2 4" xfId="636" xr:uid="{00000000-0005-0000-0000-00007F020000}"/>
    <cellStyle name="Normal 13 2 4 2" xfId="773" xr:uid="{00000000-0005-0000-0000-000080020000}"/>
    <cellStyle name="Normal 13 2 5" xfId="726" xr:uid="{00000000-0005-0000-0000-000081020000}"/>
    <cellStyle name="Normal 13 3" xfId="514" xr:uid="{00000000-0005-0000-0000-000082020000}"/>
    <cellStyle name="Normal 13 3 2" xfId="515" xr:uid="{00000000-0005-0000-0000-000083020000}"/>
    <cellStyle name="Normal 13 3 2 2" xfId="643" xr:uid="{00000000-0005-0000-0000-000084020000}"/>
    <cellStyle name="Normal 13 3 2 2 2" xfId="780" xr:uid="{00000000-0005-0000-0000-000085020000}"/>
    <cellStyle name="Normal 13 3 2 3" xfId="733" xr:uid="{00000000-0005-0000-0000-000086020000}"/>
    <cellStyle name="Normal 13 3 3" xfId="642" xr:uid="{00000000-0005-0000-0000-000087020000}"/>
    <cellStyle name="Normal 13 3 3 2" xfId="779" xr:uid="{00000000-0005-0000-0000-000088020000}"/>
    <cellStyle name="Normal 13 3 4" xfId="732" xr:uid="{00000000-0005-0000-0000-000089020000}"/>
    <cellStyle name="Normal 13 4" xfId="516" xr:uid="{00000000-0005-0000-0000-00008A020000}"/>
    <cellStyle name="Normal 13 4 2" xfId="644" xr:uid="{00000000-0005-0000-0000-00008B020000}"/>
    <cellStyle name="Normal 13 4 2 2" xfId="781" xr:uid="{00000000-0005-0000-0000-00008C020000}"/>
    <cellStyle name="Normal 13 4 3" xfId="734" xr:uid="{00000000-0005-0000-0000-00008D020000}"/>
    <cellStyle name="Normal 13 5" xfId="635" xr:uid="{00000000-0005-0000-0000-00008E020000}"/>
    <cellStyle name="Normal 13 5 2" xfId="772" xr:uid="{00000000-0005-0000-0000-00008F020000}"/>
    <cellStyle name="Normal 13 6" xfId="517" xr:uid="{00000000-0005-0000-0000-000090020000}"/>
    <cellStyle name="Normal 13 6 2" xfId="645" xr:uid="{00000000-0005-0000-0000-000091020000}"/>
    <cellStyle name="Normal 13 6 2 2" xfId="782" xr:uid="{00000000-0005-0000-0000-000092020000}"/>
    <cellStyle name="Normal 13 6 3" xfId="735" xr:uid="{00000000-0005-0000-0000-000093020000}"/>
    <cellStyle name="Normal 13 7" xfId="725" xr:uid="{00000000-0005-0000-0000-000094020000}"/>
    <cellStyle name="Normal 13 8" xfId="828" xr:uid="{00000000-0005-0000-0000-000095020000}"/>
    <cellStyle name="Normal 13 9" xfId="827" xr:uid="{00000000-0005-0000-0000-000096020000}"/>
    <cellStyle name="Normal 15" xfId="518" xr:uid="{00000000-0005-0000-0000-000097020000}"/>
    <cellStyle name="Normal 16" xfId="519" xr:uid="{00000000-0005-0000-0000-000098020000}"/>
    <cellStyle name="Normal 17" xfId="520" xr:uid="{00000000-0005-0000-0000-000099020000}"/>
    <cellStyle name="Normal 19" xfId="521" xr:uid="{00000000-0005-0000-0000-00009A020000}"/>
    <cellStyle name="Normal 2" xfId="522" xr:uid="{00000000-0005-0000-0000-00009B020000}"/>
    <cellStyle name="Normal 2 2" xfId="523" xr:uid="{00000000-0005-0000-0000-00009C020000}"/>
    <cellStyle name="Normal 2 2 2" xfId="524" xr:uid="{00000000-0005-0000-0000-00009D020000}"/>
    <cellStyle name="Normal 2 2 2 2" xfId="646" xr:uid="{00000000-0005-0000-0000-00009E020000}"/>
    <cellStyle name="Normal 2 2 2 2 2" xfId="783" xr:uid="{00000000-0005-0000-0000-00009F020000}"/>
    <cellStyle name="Normal 2 2 2 3" xfId="736" xr:uid="{00000000-0005-0000-0000-0000A0020000}"/>
    <cellStyle name="Normal 2 2 3" xfId="525" xr:uid="{00000000-0005-0000-0000-0000A1020000}"/>
    <cellStyle name="Normal 2 2 3 2" xfId="647" xr:uid="{00000000-0005-0000-0000-0000A2020000}"/>
    <cellStyle name="Normal 2 2 3 2 2" xfId="784" xr:uid="{00000000-0005-0000-0000-0000A3020000}"/>
    <cellStyle name="Normal 2 2 3 3" xfId="737" xr:uid="{00000000-0005-0000-0000-0000A4020000}"/>
    <cellStyle name="Normal 2 3" xfId="526" xr:uid="{00000000-0005-0000-0000-0000A5020000}"/>
    <cellStyle name="Normal 2 3 2" xfId="527" xr:uid="{00000000-0005-0000-0000-0000A6020000}"/>
    <cellStyle name="Normal 2 3 2 2" xfId="648" xr:uid="{00000000-0005-0000-0000-0000A7020000}"/>
    <cellStyle name="Normal 2 3 2 2 2" xfId="785" xr:uid="{00000000-0005-0000-0000-0000A8020000}"/>
    <cellStyle name="Normal 2 3 2 3" xfId="738" xr:uid="{00000000-0005-0000-0000-0000A9020000}"/>
    <cellStyle name="Normal 2 4" xfId="528" xr:uid="{00000000-0005-0000-0000-0000AA020000}"/>
    <cellStyle name="Normal 2 4 2" xfId="529" xr:uid="{00000000-0005-0000-0000-0000AB020000}"/>
    <cellStyle name="Normal 2 4 2 2" xfId="649" xr:uid="{00000000-0005-0000-0000-0000AC020000}"/>
    <cellStyle name="Normal 2 4 2 2 2" xfId="786" xr:uid="{00000000-0005-0000-0000-0000AD020000}"/>
    <cellStyle name="Normal 2 4 2 3" xfId="739" xr:uid="{00000000-0005-0000-0000-0000AE020000}"/>
    <cellStyle name="Normal 2 5" xfId="530" xr:uid="{00000000-0005-0000-0000-0000AF020000}"/>
    <cellStyle name="Normal 23" xfId="531" xr:uid="{00000000-0005-0000-0000-0000B0020000}"/>
    <cellStyle name="Normal 3" xfId="532" xr:uid="{00000000-0005-0000-0000-0000B1020000}"/>
    <cellStyle name="Normal 3 2" xfId="533" xr:uid="{00000000-0005-0000-0000-0000B2020000}"/>
    <cellStyle name="Normal 3 2 11" xfId="534" xr:uid="{00000000-0005-0000-0000-0000B3020000}"/>
    <cellStyle name="Normal 3 2 2" xfId="650" xr:uid="{00000000-0005-0000-0000-0000B4020000}"/>
    <cellStyle name="Normal 3 2 2 2" xfId="787" xr:uid="{00000000-0005-0000-0000-0000B5020000}"/>
    <cellStyle name="Normal 3 2 3" xfId="740" xr:uid="{00000000-0005-0000-0000-0000B6020000}"/>
    <cellStyle name="Normal 3 3" xfId="535" xr:uid="{00000000-0005-0000-0000-0000B7020000}"/>
    <cellStyle name="Normal 3 4" xfId="536" xr:uid="{00000000-0005-0000-0000-0000B8020000}"/>
    <cellStyle name="Normal 3 4 2" xfId="651" xr:uid="{00000000-0005-0000-0000-0000B9020000}"/>
    <cellStyle name="Normal 3 4 2 2" xfId="788" xr:uid="{00000000-0005-0000-0000-0000BA020000}"/>
    <cellStyle name="Normal 3 4 3" xfId="741" xr:uid="{00000000-0005-0000-0000-0000BB020000}"/>
    <cellStyle name="Normal 3 8" xfId="537" xr:uid="{00000000-0005-0000-0000-0000BC020000}"/>
    <cellStyle name="Normal 3 8 2" xfId="538" xr:uid="{00000000-0005-0000-0000-0000BD020000}"/>
    <cellStyle name="Normal 3 8 2 2" xfId="539" xr:uid="{00000000-0005-0000-0000-0000BE020000}"/>
    <cellStyle name="Normal 3 8 2 2 2" xfId="654" xr:uid="{00000000-0005-0000-0000-0000BF020000}"/>
    <cellStyle name="Normal 3 8 2 2 2 2" xfId="791" xr:uid="{00000000-0005-0000-0000-0000C0020000}"/>
    <cellStyle name="Normal 3 8 2 2 3" xfId="744" xr:uid="{00000000-0005-0000-0000-0000C1020000}"/>
    <cellStyle name="Normal 3 8 2 3" xfId="653" xr:uid="{00000000-0005-0000-0000-0000C2020000}"/>
    <cellStyle name="Normal 3 8 2 3 2" xfId="790" xr:uid="{00000000-0005-0000-0000-0000C3020000}"/>
    <cellStyle name="Normal 3 8 2 4" xfId="743" xr:uid="{00000000-0005-0000-0000-0000C4020000}"/>
    <cellStyle name="Normal 3 8 3" xfId="540" xr:uid="{00000000-0005-0000-0000-0000C5020000}"/>
    <cellStyle name="Normal 3 8 3 2" xfId="655" xr:uid="{00000000-0005-0000-0000-0000C6020000}"/>
    <cellStyle name="Normal 3 8 3 2 2" xfId="792" xr:uid="{00000000-0005-0000-0000-0000C7020000}"/>
    <cellStyle name="Normal 3 8 3 3" xfId="745" xr:uid="{00000000-0005-0000-0000-0000C8020000}"/>
    <cellStyle name="Normal 3 8 4" xfId="652" xr:uid="{00000000-0005-0000-0000-0000C9020000}"/>
    <cellStyle name="Normal 3 8 4 2" xfId="789" xr:uid="{00000000-0005-0000-0000-0000CA020000}"/>
    <cellStyle name="Normal 3 8 5" xfId="742" xr:uid="{00000000-0005-0000-0000-0000CB020000}"/>
    <cellStyle name="Normal 4" xfId="541" xr:uid="{00000000-0005-0000-0000-0000CC020000}"/>
    <cellStyle name="Normal 4 2" xfId="542" xr:uid="{00000000-0005-0000-0000-0000CD020000}"/>
    <cellStyle name="Normal 4 2 2" xfId="656" xr:uid="{00000000-0005-0000-0000-0000CE020000}"/>
    <cellStyle name="Normal 4 2 2 2" xfId="793" xr:uid="{00000000-0005-0000-0000-0000CF020000}"/>
    <cellStyle name="Normal 4 2 3" xfId="746" xr:uid="{00000000-0005-0000-0000-0000D0020000}"/>
    <cellStyle name="Normal 4 3" xfId="543" xr:uid="{00000000-0005-0000-0000-0000D1020000}"/>
    <cellStyle name="Normal 4 4" xfId="544" xr:uid="{00000000-0005-0000-0000-0000D2020000}"/>
    <cellStyle name="Normal 4 4 2" xfId="657" xr:uid="{00000000-0005-0000-0000-0000D3020000}"/>
    <cellStyle name="Normal 4 4 2 2" xfId="794" xr:uid="{00000000-0005-0000-0000-0000D4020000}"/>
    <cellStyle name="Normal 4 4 3" xfId="747" xr:uid="{00000000-0005-0000-0000-0000D5020000}"/>
    <cellStyle name="Normal 416" xfId="545" xr:uid="{00000000-0005-0000-0000-0000D6020000}"/>
    <cellStyle name="Normal 417" xfId="546" xr:uid="{00000000-0005-0000-0000-0000D7020000}"/>
    <cellStyle name="Normal 428" xfId="547" xr:uid="{00000000-0005-0000-0000-0000D8020000}"/>
    <cellStyle name="Normal 429" xfId="548" xr:uid="{00000000-0005-0000-0000-0000D9020000}"/>
    <cellStyle name="Normal 486" xfId="549" xr:uid="{00000000-0005-0000-0000-0000DA020000}"/>
    <cellStyle name="Normal 487" xfId="550" xr:uid="{00000000-0005-0000-0000-0000DB020000}"/>
    <cellStyle name="Normal 489" xfId="551" xr:uid="{00000000-0005-0000-0000-0000DC020000}"/>
    <cellStyle name="Normal 490" xfId="552" xr:uid="{00000000-0005-0000-0000-0000DD020000}"/>
    <cellStyle name="Normal 5" xfId="553" xr:uid="{00000000-0005-0000-0000-0000DE020000}"/>
    <cellStyle name="Normal 5 2" xfId="554" xr:uid="{00000000-0005-0000-0000-0000DF020000}"/>
    <cellStyle name="Normal 5 3" xfId="555" xr:uid="{00000000-0005-0000-0000-0000E0020000}"/>
    <cellStyle name="Normal 5 3 2" xfId="658" xr:uid="{00000000-0005-0000-0000-0000E1020000}"/>
    <cellStyle name="Normal 5 3 2 2" xfId="795" xr:uid="{00000000-0005-0000-0000-0000E2020000}"/>
    <cellStyle name="Normal 5 3 3" xfId="748" xr:uid="{00000000-0005-0000-0000-0000E3020000}"/>
    <cellStyle name="Normal 506" xfId="556" xr:uid="{00000000-0005-0000-0000-0000E4020000}"/>
    <cellStyle name="Normal 516" xfId="557" xr:uid="{00000000-0005-0000-0000-0000E5020000}"/>
    <cellStyle name="Normal 517" xfId="558" xr:uid="{00000000-0005-0000-0000-0000E6020000}"/>
    <cellStyle name="Normal 53" xfId="559" xr:uid="{00000000-0005-0000-0000-0000E7020000}"/>
    <cellStyle name="Normal 54" xfId="560" xr:uid="{00000000-0005-0000-0000-0000E8020000}"/>
    <cellStyle name="Normal 542" xfId="561" xr:uid="{00000000-0005-0000-0000-0000E9020000}"/>
    <cellStyle name="Normal 543" xfId="562" xr:uid="{00000000-0005-0000-0000-0000EA020000}"/>
    <cellStyle name="Normal 544" xfId="563" xr:uid="{00000000-0005-0000-0000-0000EB020000}"/>
    <cellStyle name="Normal 547" xfId="564" xr:uid="{00000000-0005-0000-0000-0000EC020000}"/>
    <cellStyle name="Normal 548" xfId="565" xr:uid="{00000000-0005-0000-0000-0000ED020000}"/>
    <cellStyle name="Normal 550" xfId="566" xr:uid="{00000000-0005-0000-0000-0000EE020000}"/>
    <cellStyle name="Normal 571" xfId="567" xr:uid="{00000000-0005-0000-0000-0000EF020000}"/>
    <cellStyle name="Normal 572" xfId="568" xr:uid="{00000000-0005-0000-0000-0000F0020000}"/>
    <cellStyle name="Normal 6" xfId="569" xr:uid="{00000000-0005-0000-0000-0000F1020000}"/>
    <cellStyle name="Normal 6 2" xfId="570" xr:uid="{00000000-0005-0000-0000-0000F2020000}"/>
    <cellStyle name="Normal 6 2 2" xfId="660" xr:uid="{00000000-0005-0000-0000-0000F3020000}"/>
    <cellStyle name="Normal 6 2 2 2" xfId="797" xr:uid="{00000000-0005-0000-0000-0000F4020000}"/>
    <cellStyle name="Normal 6 2 3" xfId="750" xr:uid="{00000000-0005-0000-0000-0000F5020000}"/>
    <cellStyle name="Normal 6 3" xfId="571" xr:uid="{00000000-0005-0000-0000-0000F6020000}"/>
    <cellStyle name="Normal 6 4" xfId="659" xr:uid="{00000000-0005-0000-0000-0000F7020000}"/>
    <cellStyle name="Normal 6 4 2" xfId="796" xr:uid="{00000000-0005-0000-0000-0000F8020000}"/>
    <cellStyle name="Normal 6 5" xfId="749" xr:uid="{00000000-0005-0000-0000-0000F9020000}"/>
    <cellStyle name="Normal 7" xfId="572" xr:uid="{00000000-0005-0000-0000-0000FA020000}"/>
    <cellStyle name="Normal 7 2" xfId="573" xr:uid="{00000000-0005-0000-0000-0000FB020000}"/>
    <cellStyle name="Normal 8" xfId="574" xr:uid="{00000000-0005-0000-0000-0000FC020000}"/>
    <cellStyle name="Normal 9" xfId="711" xr:uid="{00000000-0005-0000-0000-0000FD020000}"/>
    <cellStyle name="Normal 9 2" xfId="825" xr:uid="{00000000-0005-0000-0000-0000FE020000}"/>
    <cellStyle name="Normal_Sheet1" xfId="575" xr:uid="{00000000-0005-0000-0000-0000FF020000}"/>
    <cellStyle name="Note 2" xfId="576" xr:uid="{00000000-0005-0000-0000-000000030000}"/>
    <cellStyle name="Note 2 2" xfId="661" xr:uid="{00000000-0005-0000-0000-000001030000}"/>
    <cellStyle name="Note 2 2 2" xfId="798" xr:uid="{00000000-0005-0000-0000-000002030000}"/>
    <cellStyle name="Note 2 3" xfId="751" xr:uid="{00000000-0005-0000-0000-000003030000}"/>
    <cellStyle name="Note 3" xfId="712" xr:uid="{00000000-0005-0000-0000-000004030000}"/>
    <cellStyle name="Note 3 2" xfId="826" xr:uid="{00000000-0005-0000-0000-000005030000}"/>
    <cellStyle name="Output 2" xfId="577" xr:uid="{00000000-0005-0000-0000-000006030000}"/>
    <cellStyle name="Output 2 2" xfId="662" xr:uid="{00000000-0005-0000-0000-000007030000}"/>
    <cellStyle name="Percent" xfId="1" xr:uid="{00000000-0005-0000-0000-000008030000}"/>
    <cellStyle name="Percent 2" xfId="578" xr:uid="{00000000-0005-0000-0000-000009030000}"/>
    <cellStyle name="Schlecht" xfId="677" builtinId="27" customBuiltin="1"/>
    <cellStyle name="Standard" xfId="0" builtinId="0"/>
    <cellStyle name="Standard 3" xfId="579" xr:uid="{00000000-0005-0000-0000-00000C030000}"/>
    <cellStyle name="Standard 4" xfId="580" xr:uid="{00000000-0005-0000-0000-00000D030000}"/>
    <cellStyle name="Standard 4 2" xfId="581" xr:uid="{00000000-0005-0000-0000-00000E030000}"/>
    <cellStyle name="Standard 4 2 2" xfId="582" xr:uid="{00000000-0005-0000-0000-00000F030000}"/>
    <cellStyle name="Standard 4 2 2 2" xfId="583" xr:uid="{00000000-0005-0000-0000-000010030000}"/>
    <cellStyle name="Standard 4 2 2 2 2" xfId="666" xr:uid="{00000000-0005-0000-0000-000011030000}"/>
    <cellStyle name="Standard 4 2 2 2 2 2" xfId="802" xr:uid="{00000000-0005-0000-0000-000012030000}"/>
    <cellStyle name="Standard 4 2 2 2 3" xfId="755" xr:uid="{00000000-0005-0000-0000-000013030000}"/>
    <cellStyle name="Standard 4 2 2 3" xfId="665" xr:uid="{00000000-0005-0000-0000-000014030000}"/>
    <cellStyle name="Standard 4 2 2 3 2" xfId="801" xr:uid="{00000000-0005-0000-0000-000015030000}"/>
    <cellStyle name="Standard 4 2 2 4" xfId="754" xr:uid="{00000000-0005-0000-0000-000016030000}"/>
    <cellStyle name="Standard 4 2 3" xfId="584" xr:uid="{00000000-0005-0000-0000-000017030000}"/>
    <cellStyle name="Standard 4 2 3 2" xfId="667" xr:uid="{00000000-0005-0000-0000-000018030000}"/>
    <cellStyle name="Standard 4 2 3 2 2" xfId="803" xr:uid="{00000000-0005-0000-0000-000019030000}"/>
    <cellStyle name="Standard 4 2 3 3" xfId="756" xr:uid="{00000000-0005-0000-0000-00001A030000}"/>
    <cellStyle name="Standard 4 2 4" xfId="664" xr:uid="{00000000-0005-0000-0000-00001B030000}"/>
    <cellStyle name="Standard 4 2 4 2" xfId="800" xr:uid="{00000000-0005-0000-0000-00001C030000}"/>
    <cellStyle name="Standard 4 2 5" xfId="753" xr:uid="{00000000-0005-0000-0000-00001D030000}"/>
    <cellStyle name="Standard 4 3" xfId="585" xr:uid="{00000000-0005-0000-0000-00001E030000}"/>
    <cellStyle name="Standard 4 3 2" xfId="586" xr:uid="{00000000-0005-0000-0000-00001F030000}"/>
    <cellStyle name="Standard 4 3 2 2" xfId="669" xr:uid="{00000000-0005-0000-0000-000020030000}"/>
    <cellStyle name="Standard 4 3 2 2 2" xfId="805" xr:uid="{00000000-0005-0000-0000-000021030000}"/>
    <cellStyle name="Standard 4 3 2 3" xfId="758" xr:uid="{00000000-0005-0000-0000-000022030000}"/>
    <cellStyle name="Standard 4 3 3" xfId="668" xr:uid="{00000000-0005-0000-0000-000023030000}"/>
    <cellStyle name="Standard 4 3 3 2" xfId="804" xr:uid="{00000000-0005-0000-0000-000024030000}"/>
    <cellStyle name="Standard 4 3 4" xfId="757" xr:uid="{00000000-0005-0000-0000-000025030000}"/>
    <cellStyle name="Standard 4 4" xfId="587" xr:uid="{00000000-0005-0000-0000-000026030000}"/>
    <cellStyle name="Standard 4 4 2" xfId="670" xr:uid="{00000000-0005-0000-0000-000027030000}"/>
    <cellStyle name="Standard 4 4 2 2" xfId="806" xr:uid="{00000000-0005-0000-0000-000028030000}"/>
    <cellStyle name="Standard 4 4 3" xfId="759" xr:uid="{00000000-0005-0000-0000-000029030000}"/>
    <cellStyle name="Standard 4 5" xfId="663" xr:uid="{00000000-0005-0000-0000-00002A030000}"/>
    <cellStyle name="Standard 4 5 2" xfId="799" xr:uid="{00000000-0005-0000-0000-00002B030000}"/>
    <cellStyle name="Standard 4 6" xfId="752" xr:uid="{00000000-0005-0000-0000-00002C030000}"/>
    <cellStyle name="Standard 6" xfId="588" xr:uid="{00000000-0005-0000-0000-00002D030000}"/>
    <cellStyle name="Title 2" xfId="589" xr:uid="{00000000-0005-0000-0000-00002E030000}"/>
    <cellStyle name="Total 2" xfId="590" xr:uid="{00000000-0005-0000-0000-00002F03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37030000}"/>
    <cellStyle name="Zelle überprüfen" xfId="683" builtinId="23" customBuiltin="1"/>
    <cellStyle name="표준 2" xfId="592" xr:uid="{00000000-0005-0000-0000-000039030000}"/>
    <cellStyle name="一般 7" xfId="593" xr:uid="{00000000-0005-0000-0000-00003A030000}"/>
    <cellStyle name="標準 2" xfId="594" xr:uid="{00000000-0005-0000-0000-00003B030000}"/>
    <cellStyle name="標準 2 2" xfId="595" xr:uid="{00000000-0005-0000-0000-00003C030000}"/>
    <cellStyle name="標準 2 3" xfId="596" xr:uid="{00000000-0005-0000-0000-00003D03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xbk-kabel.de/wp-content/uploads/2023/11/Code-of-Conduct_14.10.2023.pdf" TargetMode="External"/><Relationship Id="rId2" Type="http://schemas.openxmlformats.org/officeDocument/2006/relationships/hyperlink" Target="mailto:A.Papadopoulos@xbk-kabel.de" TargetMode="External"/><Relationship Id="rId1" Type="http://schemas.openxmlformats.org/officeDocument/2006/relationships/hyperlink" Target="mailto:V.Daubert@xbk-kabel.de"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Einführung</v>
      </c>
      <c r="B2" s="180"/>
    </row>
    <row r="3" spans="1:2" ht="168.6" customHeight="1">
      <c r="A3" s="94" t="str">
        <f ca="1">OFFSET(L!$C$1,MATCH("Instructions"&amp;ADDRESS(ROW(),COLUMN(),4),L!$A:$A,0)-1,SL,,)</f>
        <v>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v>
      </c>
      <c r="B3" s="180"/>
    </row>
    <row r="4" spans="1:2" ht="16.5" customHeight="1">
      <c r="A4" s="220"/>
      <c r="B4" s="180"/>
    </row>
    <row r="5" spans="1:2" ht="42" customHeight="1">
      <c r="A5" s="221" t="str">
        <f ca="1">OFFSET(L!$C$1,MATCH("Instructions"&amp;ADDRESS(ROW(),COLUMN(),4),L!$A:$A,0)-1,SL,,)</f>
        <v>Anleitung zum Ausfüllen von Informationen zu Unternehmen (Zeilen 8 - 22).  Die Kommentare nur in englischer Sprache.</v>
      </c>
      <c r="B5" s="180"/>
    </row>
    <row r="6" spans="1:2" ht="35.1" customHeight="1">
      <c r="A6" s="95" t="str">
        <f ca="1">OFFSET(L!$C$1,MATCH("Instructions"&amp;ADDRESS(ROW(),COLUMN(),4),L!$A:$A,0)-1,SL,,)</f>
        <v>Hinweis: Eingaben mit (*) sind Pflichtfelder</v>
      </c>
      <c r="B6" s="180"/>
    </row>
    <row r="7" spans="1:2" ht="48" customHeight="1">
      <c r="A7" s="199" t="str">
        <f ca="1">OFFSET(L!$C$1,MATCH("Instructions"&amp;ADDRESS(ROW(),COLUMN(),4),L!$A:$A,0)-1,SL,,)</f>
        <v>1. Geben Sie hier den rechtmäßigen Firmennamen Ihres Unternehmens ein. Bitte verwenden Sie keine Abkürzungen. In diesem Feld haben Sie die Möglichkeit, weitere Geschäftsnamen, DBAs usw. hinzuzufügen.</v>
      </c>
      <c r="B7" s="180"/>
    </row>
    <row r="8" spans="1:2" ht="315" customHeight="1">
      <c r="A8" s="199"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8" s="180"/>
    </row>
    <row r="9" spans="1:2" ht="36" customHeight="1">
      <c r="A9" s="94" t="str">
        <f ca="1">OFFSET(L!$C$1,MATCH("Instructions"&amp;ADDRESS(ROW(),COLUMN(),4),L!$A:$A,0)-1,SL,,)</f>
        <v>3.Geben sie ihre eindeutige Firmenidentifikationsnummer (DUNS Nummer, Steuernummer, Kunden-spezifische Kennung, etc.) ein</v>
      </c>
      <c r="B9" s="180"/>
    </row>
    <row r="10" spans="1:2" ht="20.100000000000001" customHeight="1">
      <c r="A10" s="94" t="str">
        <f ca="1">OFFSET(L!$C$1,MATCH("Instructions"&amp;ADDRESS(ROW(),COLUMN(),4),L!$A:$A,0)-1,SL,,)</f>
        <v>4. Geben Sie die Quelle für die eindeutige Kennung oder Code ( "DUNS",  "MWST","Kunde", etc. ) an.</v>
      </c>
      <c r="B10" s="180"/>
    </row>
    <row r="11" spans="1:2" ht="20.100000000000001" customHeight="1">
      <c r="A11" s="94" t="str">
        <f ca="1">OFFSET(L!$C$1,MATCH("Instructions"&amp;ADDRESS(ROW(),COLUMN(),4),L!$A:$A,0)-1,SL,,)</f>
        <v>5. Geben Sie Ihre vollständige Firmenanschrift an (Straße, Stadt, Postleitzahl,  Bundesland).  Dieses Feld ist optional.</v>
      </c>
      <c r="B11" s="180"/>
    </row>
    <row r="12" spans="1:2" ht="35.1" customHeight="1">
      <c r="A12" s="94" t="str">
        <f ca="1">OFFSET(L!$C$1,MATCH("Instructions"&amp;ADDRESS(ROW(),COLUMN(),4),L!$A:$A,0)-1,SL,,)</f>
        <v>6. Geben Sie den Namen der Kontaktperson zum Inhalt der Erklärung an. Dies ist ein obligatorisches Feld.</v>
      </c>
      <c r="B12" s="180"/>
    </row>
    <row r="13" spans="1:2" ht="33" customHeight="1">
      <c r="A13" s="94"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3" s="180"/>
    </row>
    <row r="14" spans="1:2" ht="20.100000000000001" customHeight="1">
      <c r="A14" s="94" t="str">
        <f ca="1">OFFSET(L!$C$1,MATCH("Instructions"&amp;ADDRESS(ROW(),COLUMN(),4),L!$A:$A,0)-1,SL,,)</f>
        <v>8. Geben Sie die Telefonnummer des Kontakts an. Dies ist ein obligatorisches Feld.</v>
      </c>
      <c r="B14" s="180"/>
    </row>
    <row r="15" spans="1:2" ht="49.5" customHeight="1">
      <c r="A15" s="94"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5" s="180"/>
    </row>
    <row r="16" spans="1:2" ht="32.25" customHeight="1">
      <c r="A16" s="94" t="str">
        <f ca="1">OFFSET(L!$C$1,MATCH("Instructions"&amp;ADDRESS(ROW(),COLUMN(),4),L!$A:$A,0)-1,SL,,)</f>
        <v>10. Geben Sie den Titel für den Namen des Bevollmächtigten an. Dieses Feld ist optional.</v>
      </c>
      <c r="B16" s="180"/>
    </row>
    <row r="17" spans="1:2" ht="45">
      <c r="A17" s="94"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7" s="180"/>
    </row>
    <row r="18" spans="1:2" ht="31.5" customHeight="1">
      <c r="A18" s="94" t="str">
        <f ca="1">OFFSET(L!$C$1,MATCH("Instructions"&amp;ADDRESS(ROW(),COLUMN(),4),L!$A:$A,0)-1,SL,,)</f>
        <v>12. Fügen Sie die Telefonnummer der freigabeberechtigten Person ein. Das Ausfüllen dieses Feldes ist freiwillig.</v>
      </c>
      <c r="B18" s="180"/>
    </row>
    <row r="19" spans="1:2" ht="35.450000000000003" customHeight="1">
      <c r="A19" s="94" t="str">
        <f ca="1">OFFSET(L!$C$1,MATCH("Instructions"&amp;ADDRESS(ROW(),COLUMN(),4),L!$A:$A,0)-1,SL,,)</f>
        <v>13. Bitte geben Sie das Datum der Fertigstellung für dieses Formblatt mit dem Format TT-MMM-JJJJ ein. Dies ist ein obligatorisches Feld.</v>
      </c>
      <c r="B19" s="180"/>
    </row>
    <row r="20" spans="1:2" ht="40.5" customHeight="1">
      <c r="A20" s="94" t="str">
        <f ca="1">OFFSET(L!$C$1,MATCH("Instructions"&amp;ADDRESS(ROW(),COLUMN(),4),L!$A:$A,0)-1,SL,,)</f>
        <v>14. Zum Beispiel kann der Benutzer die Datei unter dem Namen speichern: companyname-datum.xls (Datum im Format JJJJ-MM-TT).</v>
      </c>
      <c r="B20" s="180"/>
    </row>
    <row r="21" spans="1:2" ht="17.45" customHeight="1">
      <c r="A21" s="220"/>
      <c r="B21" s="180"/>
    </row>
    <row r="22" spans="1:2" ht="42.75" customHeight="1">
      <c r="A22" s="95" t="str">
        <f ca="1">OFFSET(L!$C$1,MATCH("Instructions"&amp;ADDRESS(ROW(),COLUMN(),4),L!$A:$A,0)-1,SL,,)</f>
        <v>Anweisungen zum Ausfüllen der sieben Fragen zum Erklärungsumfang (Zeilen 24–63).
Bitte geben Sie Ihre Antworten nur auf ENGLISCH.</v>
      </c>
      <c r="B22" s="180"/>
    </row>
    <row r="23" spans="1:2" ht="57.75" customHeight="1">
      <c r="A23" s="95" t="str">
        <f ca="1">OFFSET(L!$C$1,MATCH("Instructions"&amp;ADDRESS(ROW(),COLUMN(),4),L!$A:$A,0)-1,SL,,)</f>
        <v>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v>
      </c>
      <c r="B23" s="180"/>
    </row>
    <row r="24" spans="1:2" ht="30.6" customHeight="1">
      <c r="A24" s="95" t="str">
        <f ca="1">OFFSET(L!$C$1,MATCH("Instructions"&amp;ADDRESS(ROW(),COLUMN(),4),L!$A:$A,0)-1,SL,,)</f>
        <v>Geben Sie Kommentare in den Kommentarabschnitten ein, um Ihre Antworten zu klären.</v>
      </c>
      <c r="B24" s="180"/>
    </row>
    <row r="25" spans="1:2" ht="46.5" customHeight="1">
      <c r="A25" s="95" t="str">
        <f ca="1">OFFSET(L!$C$1,MATCH("Instructions"&amp;ADDRESS(ROW(),COLUMN(),4),L!$A:$A,0)-1,SL,,)</f>
        <v>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v>
      </c>
      <c r="B25" s="180"/>
    </row>
    <row r="26" spans="1:2" ht="144.75" customHeight="1">
      <c r="A26" s="94" t="str">
        <f ca="1">OFFSET(L!$C$1,MATCH("Instructions"&amp;ADDRESS(ROW(),COLUMN(),4),L!$A:$A,0)-1,SL,,)</f>
        <v>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v>
      </c>
      <c r="B26" s="180"/>
    </row>
    <row r="27" spans="1:2" ht="36" customHeight="1">
      <c r="A27" s="94" t="str">
        <f ca="1">OFFSET(L!$C$1,MATCH("Instructions"&amp;ADDRESS(ROW(),COLUMN(),4),L!$A:$A,0)-1,SL,,)</f>
        <v>Manche Unternehmen verlangen möglicherweise Belege, wenn Sie diese Frage mit „nein” beantworten. Diese Belege sind im Feld „Anmerkungen” einzugeben.</v>
      </c>
      <c r="B27" s="180"/>
    </row>
    <row r="28" spans="1:2" ht="225">
      <c r="A28" s="94" t="str">
        <f ca="1">OFFSET(L!$C$1,MATCH("Instructions"&amp;ADDRESS(ROW(),COLUMN(),4),L!$A:$A,0)-1,SL,,)</f>
        <v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v>
      </c>
      <c r="B28" s="180"/>
    </row>
    <row r="29" spans="1:2" ht="135">
      <c r="A29" s="94" t="str">
        <f ca="1">OFFSET(L!$C$1,MATCH("Instructions"&amp;ADDRESS(ROW(),COLUMN(),4),L!$A:$A,0)-1,SL,,)</f>
        <v>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v>
      </c>
      <c r="B29" s="180"/>
    </row>
    <row r="30" spans="1:2" ht="165">
      <c r="A30" s="94" t="str">
        <f ca="1">OFFSET(L!$C$1,MATCH("Instructions"&amp;ADDRESS(ROW(),COLUMN(),4),L!$A:$A,0)-1,SL,,)</f>
        <v>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v>
      </c>
      <c r="B30" s="180"/>
    </row>
    <row r="31" spans="1:2" ht="180">
      <c r="A31" s="94" t="str">
        <f ca="1">OFFSET(L!$C$1,MATCH("Instructions"&amp;ADDRESS(ROW(),COLUMN(),4),L!$A:$A,0)-1,SL,,)</f>
        <v>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v>
      </c>
      <c r="B31" s="180"/>
    </row>
    <row r="32" spans="1:2" ht="90.75" customHeight="1">
      <c r="A32" s="94" t="str">
        <f ca="1">OFFSET(L!$C$1,MATCH("Instructions"&amp;ADDRESS(ROW(),COLUMN(),4),L!$A:$A,0)-1,SL,,)</f>
        <v>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v>
      </c>
      <c r="B32" s="180"/>
    </row>
    <row r="33" spans="1:2" ht="57.75" customHeight="1">
      <c r="A33" s="94" t="str">
        <f ca="1">OFFSET(L!$C$1,MATCH("Instructions"&amp;ADDRESS(ROW(),COLUMN(),4),L!$A:$A,0)-1,SL,,)</f>
        <v>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v>
      </c>
      <c r="B33" s="180"/>
    </row>
    <row r="34" spans="1:2" ht="15">
      <c r="A34" s="231"/>
      <c r="B34" s="180"/>
    </row>
    <row r="35" spans="1:2" ht="68.45" customHeight="1">
      <c r="A35" s="221" t="str">
        <f ca="1">OFFSET(L!$C$1,MATCH("Instructions"&amp;ADDRESS(ROW(),COLUMN(),4),L!$A:$A,0)-1,SL,,)</f>
        <v>Instruktionen zur Beantwortung der Fragen A. – G. (Reihen 69–83). Die Fragen A bis G sind obligatorisch, wenn die Antwort auf Frage 1 und 2 „Ja“ für Cobalt oder natürlichen Glimmer lautet.
Bitte geben Sie Ihre Antworten nur auf ENGLISCH</v>
      </c>
      <c r="B35" s="180"/>
    </row>
    <row r="36" spans="1:2" ht="150">
      <c r="A36" s="221" t="str">
        <f ca="1">OFFSET(L!$C$1,MATCH("Instructions"&amp;ADDRESS(ROW(),COLUMN(),4),L!$A:$A,0)-1,SL,,)</f>
        <v>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v>
      </c>
      <c r="B36" s="180"/>
    </row>
    <row r="37" spans="1:2" ht="55.5" customHeight="1">
      <c r="A37" s="94" t="str">
        <f ca="1">OFFSET(L!$C$1,MATCH("Instructions"&amp;ADDRESS(ROW(),COLUMN(),4),L!$A:$A,0)-1,SL,,)</f>
        <v>A. Diese Erklärung dient der Bestimmung, ob ein Unternehmen über eine Richtlinie zur verantwortungsvollen Beschaffung von Mineralien verfügt. Die Antwort auf diese Frage muss „Ja“ oder „Nein“ lauten.</v>
      </c>
      <c r="B37" s="180"/>
    </row>
    <row r="38" spans="1:2" ht="60" customHeight="1">
      <c r="A38" s="94" t="str">
        <f ca="1">OFFSET(L!$C$1,MATCH("Instructions"&amp;ADDRESS(ROW(),COLUMN(),4),L!$A:$A,0)-1,SL,,)</f>
        <v>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v>
      </c>
      <c r="B38" s="180"/>
    </row>
    <row r="39" spans="1:2" ht="86.45" customHeight="1">
      <c r="A39" s="94" t="str">
        <f ca="1">OFFSET(L!$C$1,MATCH("Instructions"&amp;ADDRESS(ROW(),COLUMN(),4),L!$A:$A,0)-1,SL,,)</f>
        <v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v>
      </c>
      <c r="B39" s="180"/>
    </row>
    <row r="40" spans="1:2" ht="105">
      <c r="A40" s="94" t="str">
        <f ca="1">OFFSET(L!$C$1,MATCH("Instructions"&amp;ADDRESS(ROW(),COLUMN(),4),L!$A:$A,0)-1,SL,,)</f>
        <v>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v>
      </c>
      <c r="B40" s="180"/>
    </row>
    <row r="41" spans="1:2" ht="165">
      <c r="A41" s="94" t="str">
        <f ca="1">OFFSET(L!$C$1,MATCH("Instructions"&amp;ADDRESS(ROW(),COLUMN(),4),L!$A:$A,0)-1,SL,,)</f>
        <v>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v>
      </c>
      <c r="B41" s="180"/>
    </row>
    <row r="42" spans="1:2" ht="143.25" customHeight="1">
      <c r="A42" s="94"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v>
      </c>
      <c r="B42" s="180"/>
    </row>
    <row r="43" spans="1:2" ht="64.5" customHeight="1">
      <c r="A43" s="94"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 ist ein Pflichtfeld.</v>
      </c>
      <c r="B43" s="180"/>
    </row>
    <row r="44" spans="1:2" ht="15.95" customHeight="1">
      <c r="A44" s="220"/>
      <c r="B44" s="180"/>
    </row>
    <row r="45" spans="1:2" ht="15">
      <c r="A45" s="95" t="str">
        <f ca="1">OFFSET(L!$C$1,MATCH("Instructions"&amp;ADDRESS(ROW(),COLUMN(),4),L!$A:$A,0)-1,SL,,)</f>
        <v>Hinweis: Spalten mit (*) sind Pflichtfelder</v>
      </c>
      <c r="B45" s="180"/>
    </row>
    <row r="46" spans="1:2" ht="63.6" customHeight="1">
      <c r="A46" s="95"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48" s="180"/>
    </row>
    <row r="49" spans="1:2" ht="54.95" customHeight="1">
      <c r="A49" s="94" t="str">
        <f ca="1">OFFSET(L!$C$1,MATCH("Instructions"&amp;ADDRESS(ROW(),COLUMN(),4),L!$A:$A,0)-1,SL,,)</f>
        <v>2.  Metall ( * ) - Verwenden Sie das Pull-down-Menü, um das Metall auszuwählen,  für welches Sie Informationen über die Schmelzhütte eingeben. Dies ist ein Pflichteingabefeld.</v>
      </c>
      <c r="B49" s="180"/>
    </row>
    <row r="50" spans="1:2" ht="75">
      <c r="A50" s="94"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0" s="180"/>
    </row>
    <row r="51" spans="1:2" ht="45.75" customHeight="1">
      <c r="A51" s="94"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1" s="180"/>
    </row>
    <row r="52" spans="1:2" ht="54" customHeight="1">
      <c r="A52" s="94"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2" s="180"/>
    </row>
    <row r="53" spans="1:2" ht="60">
      <c r="A53" s="94"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3" s="180"/>
    </row>
    <row r="54" spans="1:2" ht="35.450000000000003" customHeight="1">
      <c r="A54" s="94"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4" s="180"/>
    </row>
    <row r="55" spans="1:2" ht="21.75" customHeight="1">
      <c r="A55" s="94" t="str">
        <f ca="1">OFFSET(L!$C$1,MATCH("Instructions"&amp;ADDRESS(ROW(),COLUMN(),4),L!$A:$A,0)-1,SL,,)</f>
        <v>8. Straße der Schmelzhütte – Geben Sie den Straßennamen des Schmelzhüttenstandortes an. Das Ausfüllen dieses Feldes ist freiwillig.</v>
      </c>
      <c r="B55" s="180"/>
    </row>
    <row r="56" spans="1:2" ht="30">
      <c r="A56" s="94" t="str">
        <f ca="1">OFFSET(L!$C$1,MATCH("Instructions"&amp;ADDRESS(ROW(),COLUMN(),4),L!$A:$A,0)-1,SL,,)</f>
        <v>9. Ort der Schmelzhütte – Geben Sie den Namen des Ortes an, in dem sich die Schmelzhütte befindet. Das Ausfüllen dieses Feldes ist freiwillig.</v>
      </c>
      <c r="B56" s="180"/>
    </row>
    <row r="57" spans="1:2" ht="30">
      <c r="A57" s="94" t="str">
        <f ca="1">OFFSET(L!$C$1,MATCH("Instructions"&amp;ADDRESS(ROW(),COLUMN(),4),L!$A:$A,0)-1,SL,,)</f>
        <v>10. Standort der Schmelzhütte: Ggf. Bundesland/Region/Provinz – Geben Sie das Bundesland oder die Region/Provinz des Schmelzhüttenstandortes an. Das Ausfüllen dieses Feldes ist freiwillig.</v>
      </c>
      <c r="B57" s="180"/>
    </row>
    <row r="58" spans="1:2" ht="182.45" customHeight="1">
      <c r="A58" s="94" t="str">
        <f ca="1">OFFSET(L!$C$1,MATCH("Instructions"&amp;ADDRESS(ROW(),COLUMN(),4),L!$A:$A,0)-1,SL,,)</f>
        <v>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58" s="180"/>
    </row>
    <row r="59" spans="1:2" ht="76.5" customHeight="1">
      <c r="A59" s="94"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59" s="180"/>
    </row>
    <row r="60" spans="1:2" ht="90">
      <c r="A60" s="94"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0" s="180"/>
    </row>
    <row r="61" spans="1:2" ht="101.1" customHeight="1">
      <c r="A61" s="94"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1" s="180"/>
    </row>
    <row r="62" spans="1:2" ht="101.1" customHeight="1">
      <c r="A62" s="94"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2" s="180"/>
    </row>
    <row r="63" spans="1:2" ht="54" customHeight="1">
      <c r="A63" s="94" t="str">
        <f ca="1">OFFSET(L!$C$1,MATCH("Instructions"&amp;ADDRESS(ROW(),COLUMN(),4),L!$A:$A,0)-1,SL,,)</f>
        <v xml:space="preserve">16. Anmerkungen - geben Sie Ihre Anmerkungen zu den Schmelzhütten in das Textfeld ein. Beispiel: Smelter is being acquired by Company YYY </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Allgemeine Geschäftsbedingungen (AGB)</v>
      </c>
      <c r="B67" s="180"/>
    </row>
    <row r="68" spans="1:2" ht="150">
      <c r="A68" s="95" t="str">
        <f ca="1">OFFSET(L!$C$1,MATCH("Instructions"&amp;ADDRESS(ROW(),COLUMN(),4),L!$A:$A,0)-1,SL,,)</f>
        <v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v>
      </c>
      <c r="B68" s="180"/>
    </row>
    <row r="69" spans="1:2" ht="84.75" customHeight="1">
      <c r="A69" s="9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69" s="180"/>
    </row>
    <row r="70" spans="1:2" ht="83.45" customHeight="1">
      <c r="A70" s="95"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0" s="180"/>
    </row>
    <row r="71" spans="1:2" ht="150">
      <c r="A71" s="95"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1" s="180"/>
    </row>
    <row r="72" spans="1:2" ht="82.5" customHeight="1">
      <c r="A72" s="95"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Posten</v>
      </c>
      <c r="C2" s="178" t="str">
        <f ca="1">OFFSET(L!$C$1,MATCH("Definitions"&amp;ADDRESS(ROW(),COLUMN(),4),L!$A:$A,0)-1,SL,,)</f>
        <v>Definition</v>
      </c>
      <c r="D2" s="326"/>
      <c r="E2" s="179"/>
    </row>
    <row r="3" spans="1:8" ht="60">
      <c r="A3" s="177"/>
      <c r="B3" s="178" t="str">
        <f ca="1">OFFSET(L!$C$1,MATCH("Definitions"&amp;ADDRESS(ROW(),COLUMN(),4),L!$A:$A,0)-1,SL,,)</f>
        <v>Bevollmächtigter</v>
      </c>
      <c r="C3" s="178"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3" s="326"/>
      <c r="E3" s="180"/>
    </row>
    <row r="4" spans="1:8" ht="60">
      <c r="A4" s="177"/>
      <c r="B4" s="178" t="str">
        <f ca="1">OFFSET(L!$C$1,MATCH("Definitions"&amp;ADDRESS(ROW(),COLUMN(),4),L!$A:$A,0)-1,SL,,)</f>
        <v>Cobalt (Co) Raffinerie (Schmelzhutte)</v>
      </c>
      <c r="C4" s="178" t="str">
        <f ca="1">OFFSET(L!$C$1,MATCH("Definitions"&amp;ADDRESS(ROW(),COLUMN(),4),L!$A:$A,0)-1,SL,,)</f>
        <v>Ein Unternehmen, das Cobaltkonzentrate, Zwischenprodukte oder recycelte Rohstoffe verarbeitet und ein Cobaltprodukt zur direkten Verwendung in einem nachgelagerten Herstellungsprozess herstellt.</v>
      </c>
      <c r="D4" s="326"/>
      <c r="E4" s="180" t="s">
        <v>13</v>
      </c>
    </row>
    <row r="5" spans="1:8" ht="75">
      <c r="A5" s="177"/>
      <c r="B5" s="178" t="str">
        <f ca="1">OFFSET(L!$C$1,MATCH("Definitions"&amp;ADDRESS(ROW(),COLUMN(),4),L!$A:$A,0)-1,SL,,)</f>
        <v>Konflikt- und Hochrisikogebiete (CAHRA)</v>
      </c>
      <c r="C5" s="178"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6"/>
      <c r="E5" s="180"/>
    </row>
    <row r="6" spans="1:8" ht="135">
      <c r="A6" s="177"/>
      <c r="B6" s="178" t="str">
        <f ca="1">OFFSET(L!$C$1,MATCH("Definitions"&amp;ADDRESS(ROW(),COLUMN(),4),L!$A:$A,0)-1,SL,,)</f>
        <v>Erklärung Anwendungsbereich oder Klasse</v>
      </c>
      <c r="C6" s="178"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6" s="326"/>
      <c r="E6" s="180" t="s">
        <v>14</v>
      </c>
    </row>
    <row r="7" spans="1:8" ht="90">
      <c r="A7" s="177"/>
      <c r="B7" s="178" t="str">
        <f ca="1">OFFSET(L!$C$1,MATCH("Definitions"&amp;ADDRESS(ROW(),COLUMN(),4),L!$A:$A,0)-1,SL,,)</f>
        <v>Sorgfaltspflicht</v>
      </c>
      <c r="C7" s="178" t="str">
        <f ca="1">OFFSET(L!$C$1,MATCH("Definitions"&amp;ADDRESS(ROW(),COLUMN(),4),L!$A:$A,0)-1,SL,,)</f>
        <v>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v>
      </c>
      <c r="D7" s="326"/>
      <c r="E7" s="180" t="s">
        <v>15</v>
      </c>
    </row>
    <row r="8" spans="1:8" ht="90">
      <c r="A8" s="177"/>
      <c r="B8" s="178" t="str">
        <f ca="1">OFFSET(L!$C$1,MATCH("Definitions"&amp;ADDRESS(ROW(),COLUMN(),4),L!$A:$A,0)-1,SL,,)</f>
        <v>Unabhängige Private Wirtschaftsprüfungsgesellschaft</v>
      </c>
      <c r="C8" s="178"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8" s="326"/>
      <c r="E8" s="180" t="s">
        <v>16</v>
      </c>
    </row>
    <row r="9" spans="1:8" ht="45">
      <c r="A9" s="177"/>
      <c r="B9" s="178" t="str">
        <f ca="1">OFFSET(L!$C$1,MATCH("Definitions"&amp;ADDRESS(ROW(),COLUMN(),4),L!$A:$A,0)-1,SL,,)</f>
        <v>Absichtlich hinzugefügt</v>
      </c>
      <c r="C9" s="178"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v>
      </c>
      <c r="D9" s="326"/>
      <c r="E9" s="180" t="s">
        <v>15</v>
      </c>
      <c r="H9" s="157">
        <v>14</v>
      </c>
    </row>
    <row r="10" spans="1:8" ht="135">
      <c r="A10" s="177"/>
      <c r="B10" s="178" t="str">
        <f ca="1">OFFSET(L!$C$1,MATCH("Definitions"&amp;ADDRESS(ROW(),COLUMN(),4),L!$A:$A,0)-1,SL,,)</f>
        <v>OECD</v>
      </c>
      <c r="C10" s="178" t="str">
        <f ca="1">OFFSET(L!$C$1,MATCH("Definitions"&amp;ADDRESS(ROW(),COLUMN(),4),L!$A:$A,0)-1,SL,,)</f>
        <v>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v>
      </c>
      <c r="D10" s="326"/>
      <c r="E10" s="180"/>
    </row>
    <row r="11" spans="1:8" ht="36.6" customHeight="1">
      <c r="A11" s="177"/>
      <c r="B11" s="178" t="str">
        <f ca="1">OFFSET(L!$C$1,MATCH("Definitions"&amp;ADDRESS(ROW(),COLUMN(),4),L!$A:$A,0)-1,SL,,)</f>
        <v>Natürlicher Glimmer</v>
      </c>
      <c r="C11" s="178" t="str">
        <f ca="1">OFFSET(L!$C$1,MATCH("Definitions"&amp;ADDRESS(ROW(),COLUMN(),4),L!$A:$A,0)-1,SL,,)</f>
        <v>Natürlicher Glimmer ist ein Mineral, das abgebaut wird oder natürlich vorkommt, wie Muskovite und Phlogopite.</v>
      </c>
      <c r="D11" s="326"/>
      <c r="E11" s="180" t="s">
        <v>15</v>
      </c>
    </row>
    <row r="12" spans="1:8" ht="37.5" customHeight="1">
      <c r="A12" s="177"/>
      <c r="B12" s="178" t="str">
        <f ca="1">OFFSET(L!$C$1,MATCH("Definitions"&amp;ADDRESS(ROW(),COLUMN(),4),L!$A:$A,0)-1,SL,,)</f>
        <v>Synthetischer Glimmer (Fluorophlogopite)</v>
      </c>
      <c r="C12" s="178" t="str">
        <f ca="1">OFFSET(L!$C$1,MATCH("Definitions"&amp;ADDRESS(ROW(),COLUMN(),4),L!$A:$A,0)-1,SL,,)</f>
        <v xml:space="preserve">Synthetischer Glimmer (Fluorophlogopite) ist ein von Menschen hergestelltes Material, das aus Materialien wie Magnesium, Aluminium und Silizium besteht. </v>
      </c>
      <c r="D12" s="326"/>
      <c r="E12" s="180"/>
    </row>
    <row r="13" spans="1:8" ht="90">
      <c r="A13" s="177"/>
      <c r="B13" s="178" t="str">
        <f ca="1">OFFSET(L!$C$1,MATCH("Definitions"&amp;ADDRESS(ROW(),COLUMN(),4),L!$A:$A,0)-1,SL,,)</f>
        <v>Prozessor</v>
      </c>
      <c r="C13" s="178" t="str">
        <f ca="1">OFFSET(L!$C$1,MATCH("Definitions"&amp;ADDRESS(ROW(),COLUMN(),4),L!$A:$A,0)-1,SL,,)</f>
        <v>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v>
      </c>
      <c r="D13" s="326"/>
      <c r="E13" s="180"/>
    </row>
    <row r="14" spans="1:8" ht="45">
      <c r="A14" s="177"/>
      <c r="B14" s="178" t="str">
        <f ca="1">OFFSET(L!$C$1,MATCH("Definitions"&amp;ADDRESS(ROW(),COLUMN(),4),L!$A:$A,0)-1,SL,,)</f>
        <v>Produkt</v>
      </c>
      <c r="C14" s="178"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14" s="326"/>
      <c r="E14" s="180"/>
    </row>
    <row r="15" spans="1:8" ht="105">
      <c r="A15" s="177"/>
      <c r="B15" s="178" t="str">
        <f ca="1">OFFSET(L!$C$1,MATCH("Definitions"&amp;ADDRESS(ROW(),COLUMN(),4),L!$A:$A,0)-1,SL,,)</f>
        <v>Recycling oder Schrott Quellen</v>
      </c>
      <c r="C15" s="178"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15" s="326"/>
      <c r="E15" s="180"/>
    </row>
    <row r="16" spans="1:8" ht="45">
      <c r="A16" s="177"/>
      <c r="B16" s="178" t="str">
        <f ca="1">OFFSET(L!$C$1,MATCH("Definitions"&amp;ADDRESS(ROW(),COLUMN(),4),L!$A:$A,0)-1,SL,,)</f>
        <v>Responsible Business Alliance (RBA)</v>
      </c>
      <c r="C16" s="178" t="str">
        <f ca="1">OFFSET(L!$C$1,MATCH("Definitions"&amp;ADDRESS(ROW(),COLUMN(),4),L!$A:$A,0)-1,SL,,)</f>
        <v>Die Responsible Business Alliance wurde 2004 gegründet und ist die weltweit größte Branchenkoalition, die sich der Verantwortung in der Elektroniklieferkette widmet. (http://www.responsiblebusiness.org)</v>
      </c>
      <c r="D16" s="326"/>
      <c r="E16" s="180" t="s">
        <v>15</v>
      </c>
    </row>
    <row r="17" spans="1:5" ht="75">
      <c r="A17" s="177"/>
      <c r="B17" s="178" t="str">
        <f ca="1">OFFSET(L!$C$1,MATCH("Definitions"&amp;ADDRESS(ROW(),COLUMN(),4),L!$A:$A,0)-1,SL,,)</f>
        <v>Responsible Minerals Assurance Process (RMAP)</v>
      </c>
      <c r="C17" s="178"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17" s="326"/>
      <c r="E17" s="180" t="s">
        <v>16</v>
      </c>
    </row>
    <row r="18" spans="1:5" ht="180">
      <c r="A18" s="177"/>
      <c r="B18" s="178" t="str">
        <f ca="1">OFFSET(L!$C$1,MATCH("Definitions"&amp;ADDRESS(ROW(),COLUMN(),4),L!$A:$A,0)-1,SL,,)</f>
        <v>Responsible Minerals Initiative</v>
      </c>
      <c r="C18" s="178"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18" s="326"/>
      <c r="E18" s="180"/>
    </row>
    <row r="19" spans="1:5" ht="165">
      <c r="A19" s="177"/>
      <c r="B19" s="178" t="str">
        <f ca="1">OFFSET(L!$C$1,MATCH("Definitions"&amp;ADDRESS(ROW(),COLUMN(),4),L!$A:$A,0)-1,SL,,)</f>
        <v>RMAP Konforme Smelter Liste</v>
      </c>
      <c r="C19" s="178"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19" s="326"/>
      <c r="E19" s="180" t="s">
        <v>15</v>
      </c>
    </row>
    <row r="20" spans="1:5" ht="90">
      <c r="A20" s="177"/>
      <c r="B20" s="178" t="str">
        <f ca="1">OFFSET(L!$C$1,MATCH("Definitions"&amp;ADDRESS(ROW(),COLUMN(),4),L!$A:$A,0)-1,SL,,)</f>
        <v>Schmelzhütte</v>
      </c>
      <c r="C20" s="178"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0" s="326"/>
      <c r="E20" s="180" t="s">
        <v>13</v>
      </c>
    </row>
    <row r="21" spans="1:5" ht="60">
      <c r="A21" s="177"/>
      <c r="B21" s="178" t="str">
        <f ca="1">OFFSET(L!$C$1,MATCH("Definitions"&amp;ADDRESS(ROW(),COLUMN(),4),L!$A:$A,0)-1,SL,,)</f>
        <v>Schmelzhütte Id-Nummer</v>
      </c>
      <c r="C21" s="178"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A75" zoomScaleNormal="100" workbookViewId="0">
      <selection activeCell="G79" sqref="G79:J79"/>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Erweiterte Vorlage für Mineralienberichte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18961</v>
      </c>
      <c r="E3" s="332"/>
      <c r="F3" s="333"/>
      <c r="G3" s="333"/>
      <c r="H3" s="333"/>
      <c r="I3" s="333"/>
      <c r="J3" s="191" t="s">
        <v>12830</v>
      </c>
      <c r="K3" s="30"/>
      <c r="L3" s="103"/>
      <c r="P3" s="39">
        <f>MATCH($D$3,LN,0)</f>
        <v>6</v>
      </c>
    </row>
    <row r="4" spans="1:34" ht="15.75">
      <c r="A4" s="28"/>
      <c r="B4" s="357" t="str">
        <f ca="1">OFFSET(L!$C$1,MATCH("Declaration"&amp;ADDRESS(ROW(),COLUMN(),4),L!$A:$A,0)-1,SL,,)</f>
        <v>Der Zweck dieses Dokuments ist die Erfassung von Beschaffungsinformationen für Cobalt und natürlicher Glimmer, welche in Produkten genutzt werden.</v>
      </c>
      <c r="C4" s="357"/>
      <c r="D4" s="357"/>
      <c r="E4" s="357"/>
      <c r="F4" s="357"/>
      <c r="G4" s="357"/>
      <c r="H4" s="357"/>
      <c r="I4" s="361" t="str">
        <f ca="1">OFFSET(L!$C$1,MATCH("Declaration"&amp;ADDRESS(ROW(),COLUMN(),4),L!$A:$A,0)-1,SL,,)</f>
        <v>Link zu den Bedingungen</v>
      </c>
      <c r="J4" s="361"/>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Pflichtfelder sind mit einem Sternchen (*) gekennzeichnet.  Im Tab „Instruktionen“ finden Sie eine Anleitung zur Beantwortung aller Fragen.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75">
      <c r="A7" s="28"/>
      <c r="B7" s="362" t="str">
        <f ca="1">OFFSET(L!$C$1,MATCH("Declaration"&amp;ADDRESS(ROW(),COLUMN(),4),L!$A:$A,0)-1,SL,,)</f>
        <v>Firmenangaben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Firmenname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Geltungsbereich der Erklärung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Beschreibung des Geltungsbereichs</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5.75">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Eindeutige Unternehmenskennung:</v>
      </c>
      <c r="C12" s="68"/>
      <c r="D12" s="354" t="s">
        <v>19203</v>
      </c>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Zuständige Stelle im Unternehmen:</v>
      </c>
      <c r="C13" s="68"/>
      <c r="D13" s="354" t="s">
        <v>19204</v>
      </c>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Adresse:</v>
      </c>
      <c r="C14" s="68"/>
      <c r="D14" s="354" t="s">
        <v>19205</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Name des Ansprechpartners (*):</v>
      </c>
      <c r="C15" s="68"/>
      <c r="D15" s="354" t="s">
        <v>19206</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E-Mail-Adresse des Ansprechpartners (*):</v>
      </c>
      <c r="C16" s="68"/>
      <c r="D16" s="342" t="s">
        <v>19207</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Telefonnummer des Ansprechpartners (*):</v>
      </c>
      <c r="C17" s="68"/>
      <c r="D17" s="354" t="s">
        <v>19208</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Bevollmächtigter (*):</v>
      </c>
      <c r="C18" s="68"/>
      <c r="D18" s="354" t="s">
        <v>19209</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Titel des Bevollmächtigten:</v>
      </c>
      <c r="C19" s="68"/>
      <c r="D19" s="354" t="s">
        <v>19210</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E-Mail-Adresse des Bevollmächtigten (*):</v>
      </c>
      <c r="C20" s="68"/>
      <c r="D20" s="342" t="s">
        <v>19211</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Telefonnummer des Bevollmächtigten:</v>
      </c>
      <c r="C21" s="125"/>
      <c r="D21" s="354"/>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Datum (*):</v>
      </c>
      <c r="C22" s="69"/>
      <c r="D22" s="377">
        <v>45722</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Beantworten Sie die Fragen 1 - 7 entsprechend dem oben angegebenen Geltungsbereich</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Wird absichtlich Cobalt oder natürlicher Glimmer im Herstellungsprozess verwendet oder in das bzw. die Produkte aufgenommen? (*)</v>
      </c>
      <c r="C25" s="14"/>
      <c r="D25" s="376" t="str">
        <f ca="1">OFFSET(L!$C$1,MATCH("Declaration"&amp;ADDRESS(ROW(),COLUMN(),4),L!$A:$A,0)-1,SL,,)</f>
        <v>Antwort</v>
      </c>
      <c r="E25" s="376"/>
      <c r="F25" s="15"/>
      <c r="G25" s="38" t="str">
        <f ca="1">OFFSET(L!$C$1,MATCH("Declaration"&amp;ADDRESS(ROW(),COLUMN(),4),L!$A:$A,0)-1,SL,,)</f>
        <v>Kommentare</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22</v>
      </c>
      <c r="E26" s="335"/>
      <c r="F26" s="9"/>
      <c r="G26" s="329"/>
      <c r="H26" s="330"/>
      <c r="I26" s="330"/>
      <c r="J26" s="331"/>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Glimmer(*)</v>
      </c>
      <c r="C27" s="29"/>
      <c r="D27" s="334" t="s">
        <v>25</v>
      </c>
      <c r="E27" s="335"/>
      <c r="F27" s="9"/>
      <c r="G27" s="329"/>
      <c r="H27" s="330"/>
      <c r="I27" s="330"/>
      <c r="J27" s="331"/>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Verbleibt Cobalt oder natürlicher Glimmer in dem bzw. den Produkten? (*)</v>
      </c>
      <c r="C31" s="14"/>
      <c r="D31" s="368" t="str">
        <f ca="1">D25</f>
        <v>Antwort</v>
      </c>
      <c r="E31" s="368"/>
      <c r="F31" s="15"/>
      <c r="G31" s="38" t="str">
        <f ca="1">G25</f>
        <v>Kommentare</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c r="E32" s="335"/>
      <c r="F32" s="9"/>
      <c r="G32" s="329"/>
      <c r="H32" s="330"/>
      <c r="I32" s="330"/>
      <c r="J32" s="331"/>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Glimmer(*)</v>
      </c>
      <c r="C33" s="29"/>
      <c r="D33" s="334" t="s">
        <v>25</v>
      </c>
      <c r="E33" s="335"/>
      <c r="F33" s="9"/>
      <c r="G33" s="329"/>
      <c r="H33" s="330"/>
      <c r="I33" s="330"/>
      <c r="J33" s="331"/>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Bezieht einer der Verhüttungsbetrieb oder das Verarbeitungsunternehmen in Ihrer Lieferkette das Cobalt oder den natürlichen Glimmer aus Konflikt- und Hochrisikogebieten? (OECD Due Diligence Guidance, siehe Registerkarte Definitionen)(*)</v>
      </c>
      <c r="C37" s="7"/>
      <c r="D37" s="368" t="str">
        <f ca="1">D25</f>
        <v>Antwort</v>
      </c>
      <c r="E37" s="368"/>
      <c r="F37" s="15"/>
      <c r="G37" s="38" t="str">
        <f ca="1">G25</f>
        <v>Kommentare</v>
      </c>
      <c r="H37" s="369"/>
      <c r="I37" s="369"/>
      <c r="J37" s="369"/>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4"/>
      <c r="E38" s="335"/>
      <c r="F38" s="41"/>
      <c r="G38" s="329"/>
      <c r="H38" s="330"/>
      <c r="I38" s="330"/>
      <c r="J38" s="331"/>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Glimmer(*)</v>
      </c>
      <c r="C39" s="7"/>
      <c r="D39" s="334" t="s">
        <v>22</v>
      </c>
      <c r="E39" s="335"/>
      <c r="F39" s="41"/>
      <c r="G39" s="329"/>
      <c r="H39" s="330"/>
      <c r="I39" s="330"/>
      <c r="J39" s="331"/>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Stammt 100 Prozent des Cobalts aus Recycling- oder Schrottquellen?(*)</v>
      </c>
      <c r="C43" s="7"/>
      <c r="D43" s="368" t="str">
        <f ca="1">D25</f>
        <v>Antwort</v>
      </c>
      <c r="E43" s="368"/>
      <c r="F43" s="15"/>
      <c r="G43" s="38" t="str">
        <f ca="1">G25</f>
        <v>Kommentare</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Wie hoch ist der Prozentsatz an Lieferanten, die auf Ihre Lieferkettenumfrage geantwortet haben?(*)</v>
      </c>
      <c r="C49" s="7"/>
      <c r="D49" s="368" t="str">
        <f ca="1">D25</f>
        <v>Antwort</v>
      </c>
      <c r="E49" s="368"/>
      <c r="F49" s="15"/>
      <c r="G49" s="38" t="str">
        <f ca="1">G25</f>
        <v>Kommentare</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Glimmer(*)</v>
      </c>
      <c r="C51" s="29"/>
      <c r="D51" s="338">
        <v>1</v>
      </c>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Kennen Sie alle Verhüttungsbetriebe oder Verarbeitungsunternehmen, die das Cobalt oder den natürlichen Glimmer für Ihre Lieferkette bereitstellen?(*)</v>
      </c>
      <c r="C55" s="7"/>
      <c r="D55" s="368" t="str">
        <f ca="1">D25</f>
        <v>Antwort</v>
      </c>
      <c r="E55" s="368"/>
      <c r="F55" s="15"/>
      <c r="G55" s="38" t="str">
        <f ca="1">G25</f>
        <v>Kommentare</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2"/>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Glimmer(*)</v>
      </c>
      <c r="C57" s="7"/>
      <c r="D57" s="334" t="s">
        <v>25</v>
      </c>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7.25">
      <c r="A61" s="35"/>
      <c r="B61" s="38" t="str">
        <f ca="1">OFFSET(L!$C$1,MATCH("Declaration"&amp;ADDRESS(ROW(),COLUMN(),4),L!$A:$A,0)-1,SL,,)&amp;Q37</f>
        <v>7) Sind alle anwendbaren Informationen über Verhüttungsbetriebe oder Verarbeitungsunternehmen, die Ihr Unternehmen erhalten hat, in dieser Erklärung genannt worden?(*)</v>
      </c>
      <c r="C61" s="7"/>
      <c r="D61" s="368" t="str">
        <f ca="1">D25</f>
        <v>Antwort</v>
      </c>
      <c r="E61" s="368"/>
      <c r="F61" s="15"/>
      <c r="G61" s="38" t="str">
        <f ca="1">G25</f>
        <v>Kommentare</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Glimmer(*)</v>
      </c>
      <c r="C63" s="29"/>
      <c r="D63" s="334" t="s">
        <v>25</v>
      </c>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Beantworten Sie folgende Fragen auf Firmenebene</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Frage</v>
      </c>
      <c r="C68" s="72"/>
      <c r="D68" s="376" t="str">
        <f ca="1">D25</f>
        <v>Antwort</v>
      </c>
      <c r="E68" s="376"/>
      <c r="F68" s="47"/>
      <c r="G68" s="376" t="str">
        <f ca="1">G25</f>
        <v>Kommentare</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Haben Sie eine Richtlinie zur verantwortungsvollen Beschaffung von Mineralien aufgestellt?</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Ist Ihre Richtlinie zur verantwortungsvollen Beschaffung von Mineralien auf Ihrer Website einsehbar? (Hinweis – Bei „Ja“ hat der Benutzer die URL im Anmerkungsfeld anzugeben.)</v>
      </c>
      <c r="C71" s="51"/>
      <c r="D71" s="334" t="s">
        <v>25</v>
      </c>
      <c r="E71" s="335"/>
      <c r="F71" s="51"/>
      <c r="G71" s="392" t="s">
        <v>19212</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Verlangen Sie von Ihren direkten Lieferanten, das Cobalt von Verhüttungsbetrieben oder den natürlichen Glimmer von Verarbeitungsunternehmen zu beziehen, deren Sorgfaltspflichtpraktiken von einem unabhängigen Prüfungsprogramm einer dritten Partei überprüft worden sind?</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Glimmer(*)</v>
      </c>
      <c r="C75" s="29"/>
      <c r="D75" s="334" t="s">
        <v>25</v>
      </c>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Haben Sie Sorgfaltspflichtmaßnahmen für verantwortungsvolle Beschaffung in Kraft gesetzt?</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Führt Ihr Unternehmen Lieferkettenumfragen bei Ihren relevanten Lieferanten zu Cobalt bzw. natürlichen Glimmer durch?</v>
      </c>
      <c r="C79" s="51"/>
      <c r="D79" s="389" t="s">
        <v>35</v>
      </c>
      <c r="E79" s="390"/>
      <c r="F79" s="51"/>
      <c r="G79" s="329" t="s">
        <v>19213</v>
      </c>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Prüfen Sie die Sorgfaltspflichtangaben, die Sie von Ihren Lieferanten erhalten, gegen die Erwartungen Ihres Unternehmens?</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Umfasst Ihr Prüfverfahren die Überwachung von Abhilfemaßnahmen?</v>
      </c>
      <c r="C83" s="51"/>
      <c r="D83" s="334" t="s">
        <v>22</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7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xr:uid="{00000000-0004-0000-0300-000004000000}"/>
    <hyperlink ref="D20" r:id="rId2" xr:uid="{00000000-0004-0000-0300-000005000000}"/>
    <hyperlink ref="G71" r:id="rId3" xr:uid="{00000000-0004-0000-0300-000006000000}"/>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E10" sqref="E10"/>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UM ZU BEGINNEN: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 xml:space="preserve">Eingabespalte Schmelzhüttenidentifizierungsnummer </v>
      </c>
      <c r="B4" s="129" t="str">
        <f ca="1">OFFSET(L!$C$1,MATCH("Smelter List"&amp;ADDRESS(ROW(),COLUMN(),4),L!$A:$A,0)-1,SL,,)</f>
        <v>Metall (1)</v>
      </c>
      <c r="C4" s="129" t="str">
        <f ca="1">OFFSET(L!$C$1,MATCH("Smelter List"&amp;ADDRESS(ROW(),COLUMN(),4),L!$A:$A,0)-1,SL,,)</f>
        <v>Schmelzhüttensuche (*)</v>
      </c>
      <c r="D4" s="129" t="str">
        <f ca="1">OFFSET(L!$C$1,MATCH("Smelter List"&amp;ADDRESS(ROW(),COLUMN(),4),L!$A:$A,0)-1,SL,,)</f>
        <v>Schmelzhüttenname (1)</v>
      </c>
      <c r="E4" s="129" t="str">
        <f ca="1">OFFSET(L!$C$1,MATCH("Smelter List"&amp;ADDRESS(ROW(),COLUMN(),4),L!$A:$A,0)-1,SL,,)</f>
        <v>Schmelzhütten: Land (*)</v>
      </c>
      <c r="F4" s="129" t="str">
        <f ca="1">OFFSET(L!$C$1,MATCH("Smelter List"&amp;ADDRESS(ROW(),COLUMN(),4),L!$A:$A,0)-1,SL,,)</f>
        <v>Schmelzhütte Identifizierung</v>
      </c>
      <c r="G4" s="129" t="str">
        <f ca="1">OFFSET(L!$C$1,MATCH("Smelter List"&amp;ADDRESS(ROW(),COLUMN(),4),L!$A:$A,0)-1,SL,,)</f>
        <v>Quelle der Schmelzhütte Id-Nummer</v>
      </c>
      <c r="H4" s="130" t="str">
        <f ca="1">OFFSET(L!$C$1,MATCH("Smelter List"&amp;ADDRESS(ROW(),COLUMN(),4),L!$A:$A,0)-1,SL,,)</f>
        <v>Schmelzhütten: Straße</v>
      </c>
      <c r="I4" s="130" t="str">
        <f ca="1">OFFSET(L!$C$1,MATCH("Smelter List"&amp;ADDRESS(ROW(),COLUMN(),4),L!$A:$A,0)-1,SL,,)</f>
        <v>Schmelzhütten: Stadt</v>
      </c>
      <c r="J4" s="130" t="str">
        <f ca="1">OFFSET(L!$C$1,MATCH("Smelter List"&amp;ADDRESS(ROW(),COLUMN(),4),L!$A:$A,0)-1,SL,,)</f>
        <v>Schmelzhütten: Bundesland/Provinz</v>
      </c>
      <c r="K4" s="130" t="str">
        <f ca="1">OFFSET(L!$C$1,MATCH("Smelter List"&amp;ADDRESS(ROW(),COLUMN(),4),L!$A:$A,0)-1,SL,,)</f>
        <v xml:space="preserve">Schmelzhütten-Ansprechpartner: Name </v>
      </c>
      <c r="L4" s="130" t="str">
        <f ca="1">OFFSET(L!$C$1,MATCH("Smelter List"&amp;ADDRESS(ROW(),COLUMN(),4),L!$A:$A,0)-1,SL,,)</f>
        <v>Schmelzhütten-Ansprechpartner: E-mail</v>
      </c>
      <c r="M4" s="130" t="str">
        <f ca="1">OFFSET(L!$C$1,MATCH("Smelter List"&amp;ADDRESS(ROW(),COLUMN(),4),L!$A:$A,0)-1,SL,,)</f>
        <v>Vorgeschlagenen nächsten Schritte</v>
      </c>
      <c r="N4" s="130" t="str">
        <f ca="1">OFFSET(L!$C$1,MATCH("Smelter List"&amp;ADDRESS(ROW(),COLUMN(),4),L!$A:$A,0)-1,SL,,)</f>
        <v>Name der Mine(n) oder falls aus Recycling oder Schrott, tragen Sie "recycled" oder "Schrott" ein</v>
      </c>
      <c r="O4" s="130" t="str">
        <f ca="1">OFFSET(L!$C$1,MATCH("Smelter List"&amp;ADDRESS(ROW(),COLUMN(),4),L!$A:$A,0)-1,SL,,)</f>
        <v>Standort (Land) von Minen, falls aus Recycling oder Schrott gekauft, geben Sie "recycled" oder "Schrott" ein</v>
      </c>
      <c r="P4" s="130" t="str">
        <f ca="1">OFFSET(L!$C$1,MATCH("Smelter List"&amp;ADDRESS(ROW(),COLUMN(),4),L!$A:$A,0)-1,SL,,)</f>
        <v>Stammen 100% der Ausgangsstoffe der Schmelzhütte aus Recycling oder Schrott?</v>
      </c>
      <c r="Q4" s="131" t="str">
        <f ca="1">OFFSET(L!$C$1,MATCH("Smelter List"&amp;ADDRESS(ROW(),COLUMN(),4),L!$A:$A,0)-1,SL,,)</f>
        <v>Kommentare</v>
      </c>
      <c r="R4" s="129" t="s">
        <v>45</v>
      </c>
      <c r="S4" s="129" t="s">
        <v>46</v>
      </c>
      <c r="T4" s="129" t="s">
        <v>47</v>
      </c>
      <c r="U4" s="168"/>
      <c r="W4" s="141" t="s">
        <v>48</v>
      </c>
      <c r="X4" s="141" t="s">
        <v>49</v>
      </c>
      <c r="AH4" s="131" t="s">
        <v>26</v>
      </c>
    </row>
    <row r="5" spans="1:34" s="171" customFormat="1" ht="38.25">
      <c r="A5" s="200"/>
      <c r="B5" s="150" t="s">
        <v>44</v>
      </c>
      <c r="C5" s="153" t="s">
        <v>321</v>
      </c>
      <c r="D5" s="150" t="s">
        <v>19214</v>
      </c>
      <c r="E5" s="150" t="s">
        <v>162</v>
      </c>
      <c r="F5" s="150">
        <f ca="1">IF(ISERROR($V5),"",OFFSET('Smelter Look-up'!$E$4,$V5-4,0))</f>
        <v>0</v>
      </c>
      <c r="G5" s="150" t="str">
        <f ca="1">IF(C5=$X$4,"Enter smelter details",IF(ISERROR($V5),"",OFFSET('Smelter Look-up'!$F$4,$V5-4,0)))</f>
        <v>Enter smelter details</v>
      </c>
      <c r="H5" s="208" t="s">
        <v>19215</v>
      </c>
      <c r="I5" s="209" t="s">
        <v>5143</v>
      </c>
      <c r="J5" s="209" t="s">
        <v>5035</v>
      </c>
      <c r="K5" s="151"/>
      <c r="L5" s="151"/>
      <c r="M5" s="151"/>
      <c r="N5" s="151"/>
      <c r="O5" s="151"/>
      <c r="P5" s="211"/>
      <c r="Q5" s="152"/>
      <c r="R5" s="150" t="str">
        <f ca="1">IF(ISERROR($V5),"",OFFSET('Smelter Look-up'!$C$4,$V5-4,0)&amp;"")</f>
        <v/>
      </c>
      <c r="S5" s="156" t="str">
        <f t="shared" ref="S5:S63" ca="1" si="0">IF(B5="","",IF(ISERROR(MATCH($E5,CL,0)),"Unknown",INDIRECT("'C'!$A$"&amp;MATCH($E5,CL,0)+1)))</f>
        <v>GB</v>
      </c>
      <c r="T5" s="156" t="str">
        <f ca="1">IF(B5="","",IF(ISERROR(MATCH($J5,SorP!$B$1:$B$6226,0)),"",INDIRECT("'SorP'!$A$"&amp;MATCH($S5&amp;$J5,SorP!C:C,0))))</f>
        <v>GB-DBY</v>
      </c>
      <c r="U5" s="169"/>
      <c r="V5" s="170">
        <f>IF(C5="",NA(),MATCH($B5&amp;$C5,'Smelter Look-up'!$J:$J,0))</f>
        <v>190</v>
      </c>
      <c r="X5" s="171">
        <f t="shared" ref="X5:X62" si="1">IF(AND(C5="Smelter not listed",OR(LEN(D5)=0,LEN(E5)=0)),1,0)</f>
        <v>0</v>
      </c>
      <c r="AB5" s="171" t="str">
        <f t="shared" ref="AB5:AB62" si="2">B5&amp;C5</f>
        <v>MicaSmelter not listed</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0000000}"/>
    <dataValidation type="list" allowBlank="1" showInputMessage="1" showErrorMessage="1" sqref="E5:E2500" xr:uid="{00000000-0002-0000-0400-000001000000}">
      <formula1>CL</formula1>
    </dataValidation>
    <dataValidation type="list" allowBlank="1" showInputMessage="1" showErrorMessage="1" sqref="P5:P2500" xr:uid="{00000000-0002-0000-0400-000002000000}">
      <formula1>$AH$2:$AH$4</formula1>
    </dataValidation>
    <dataValidation type="list" showInputMessage="1" showErrorMessage="1" sqref="C5:C2500" xr:uid="{00000000-0002-0000-0400-000003000000}">
      <formula1>SN</formula1>
    </dataValidation>
    <dataValidation type="list" allowBlank="1" showInputMessage="1" showErrorMessage="1" sqref="B5:B2500"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tabSelected="1" workbookViewId="0">
      <pane xSplit="1" ySplit="3" topLeftCell="B50" activePane="bottomRight" state="frozen"/>
      <selection pane="topRight" activeCell="B24" sqref="B24:J24"/>
      <selection pane="bottomLeft" activeCell="B24" sqref="B24:J24"/>
      <selection pane="bottomRight" activeCell="D1" sqref="D1"/>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Um sicherzustellen, dass alle erforderlichen Felder vor dem Versand an ihren Kunden ausgefüllt sind, alle rot markierten Felder beachten.</v>
      </c>
      <c r="B1" s="400"/>
      <c r="C1" s="400"/>
      <c r="D1" s="109" t="str">
        <f ca="1">OFFSET(L!$C$1,MATCH("Checker"&amp;ADDRESS(ROW(),COLUMN(),4),L!$A:$A,0)-1,SL,,)</f>
        <v>Erforderliche Felder bitte vervollständigen.</v>
      </c>
      <c r="E1" s="17" t="s">
        <v>18</v>
      </c>
    </row>
    <row r="2" spans="1:10" ht="15.75">
      <c r="A2" s="59" t="s">
        <v>50</v>
      </c>
      <c r="B2" s="60" t="str">
        <f>IF(F60=1,"Click here to return to Smelter List","")</f>
        <v/>
      </c>
      <c r="C2" s="112" t="str">
        <f>IF(F59=1,"Click here to return to Product List","")</f>
        <v/>
      </c>
      <c r="D2" s="134" t="str">
        <f ca="1">IF(H65=0,"0",H65)</f>
        <v>0</v>
      </c>
    </row>
    <row r="3" spans="1:10" ht="15">
      <c r="A3" s="61" t="str">
        <f ca="1">OFFSET(L!$C$1,MATCH("Checker"&amp;ADDRESS(ROW(),COLUMN(),4),L!$A:$A,0)-1,SL,,)</f>
        <v>Erforderliche Felder</v>
      </c>
      <c r="B3" s="61" t="str">
        <f ca="1">OFFSET(L!$C$1,MATCH("Checker"&amp;ADDRESS(ROW(),COLUMN(),4),L!$A:$A,0)-1,SL,,)</f>
        <v>Antwort ist vorhanden</v>
      </c>
      <c r="C3" s="61" t="str">
        <f ca="1">OFFSET(L!$C$1,MATCH("Checker"&amp;ADDRESS(ROW(),COLUMN(),4),L!$A:$A,0)-1,SL,,)</f>
        <v>Notizen</v>
      </c>
      <c r="D3" s="61" t="str">
        <f ca="1">OFFSET(L!$C$1,MATCH("Checker"&amp;ADDRESS(ROW(),COLUMN(),4),L!$A:$A,0)-1,SL,,)</f>
        <v>Hyperlink zum Ursprung</v>
      </c>
      <c r="F3" s="62" t="s">
        <v>51</v>
      </c>
      <c r="G3" s="16" t="s">
        <v>52</v>
      </c>
      <c r="H3" s="16" t="s">
        <v>53</v>
      </c>
      <c r="I3" s="16" t="s">
        <v>54</v>
      </c>
      <c r="J3" s="16" t="s">
        <v>55</v>
      </c>
    </row>
    <row r="4" spans="1:10" ht="39">
      <c r="A4" s="136" t="str">
        <f ca="1">Declaration!B8</f>
        <v>Firmenname (*):</v>
      </c>
      <c r="B4" s="80" t="str">
        <f>Declaration!D8</f>
        <v>XBK-KABEL Xaver Bechtold GmbH</v>
      </c>
      <c r="C4" s="137" t="str">
        <f t="shared" ref="C4:C9" ca="1" si="0">IF(H4=1,J4,I4)</f>
        <v>Vollständig</v>
      </c>
      <c r="D4" s="206" t="str">
        <f>IF(H4=1,"Click here to enter Company Name","")</f>
        <v/>
      </c>
      <c r="E4" s="17" t="s">
        <v>15</v>
      </c>
      <c r="F4" s="84">
        <v>1</v>
      </c>
      <c r="G4" s="63">
        <f t="shared" ref="G4:G9" si="1">IF(B4=0,1,0)</f>
        <v>0</v>
      </c>
      <c r="H4" s="64">
        <f>F4*G4</f>
        <v>0</v>
      </c>
      <c r="I4" s="132" t="str">
        <f ca="1">OFFSET(L!$C$1,MATCH("Checker"&amp;"Comp",L!$A:$A,0)-1,SL,,)</f>
        <v>Vollständig</v>
      </c>
      <c r="J4" s="133" t="str">
        <f ca="1">OFFSET(L!$C$1,MATCH("Checker"&amp;ADDRESS(ROW(),COLUMN(),4),L!$A:$A,0)-1,SL,,)</f>
        <v>Geben Sie den Namen Ihres Unternehmens in der Reiterzelle D8 der Erklärung an</v>
      </c>
    </row>
    <row r="5" spans="1:10" ht="39">
      <c r="A5" s="136" t="str">
        <f ca="1">Declaration!B9</f>
        <v>Geltungsbereich der Erklärung (*):</v>
      </c>
      <c r="B5" s="80" t="str">
        <f>Declaration!D9</f>
        <v>A. Company</v>
      </c>
      <c r="C5" s="137" t="str">
        <f t="shared" ca="1" si="0"/>
        <v>Vollständig</v>
      </c>
      <c r="D5" s="86" t="str">
        <f>IF(H5=1,"Click here to enter Declaration Scope","")</f>
        <v/>
      </c>
      <c r="E5" s="17" t="s">
        <v>15</v>
      </c>
      <c r="F5" s="84">
        <v>1</v>
      </c>
      <c r="G5" s="63">
        <f t="shared" si="1"/>
        <v>0</v>
      </c>
      <c r="H5" s="64">
        <f t="shared" ref="H5:H18" si="2">F5*G5</f>
        <v>0</v>
      </c>
      <c r="I5" s="132" t="str">
        <f ca="1">OFFSET(L!$C$1,MATCH("Checker"&amp;"Comp",L!$A:$A,0)-1,SL,,)</f>
        <v>Vollständig</v>
      </c>
      <c r="J5" s="133" t="str">
        <f ca="1">OFFSET(L!$C$1,MATCH("Checker"&amp;ADDRESS(ROW(),COLUMN(),4),L!$A:$A,0)-1,SL,,)</f>
        <v>Wählen Sie den Umfang der Erklärung in der Reiterzelle D9 der Erklärung aus</v>
      </c>
    </row>
    <row r="6" spans="1:10" ht="39">
      <c r="A6" s="81" t="str">
        <f ca="1">Declaration!B10</f>
        <v>Beschreibung des Geltungsbereichs</v>
      </c>
      <c r="B6" s="80">
        <f>Declaration!D10</f>
        <v>0</v>
      </c>
      <c r="C6" s="80" t="str">
        <f t="shared" ca="1" si="0"/>
        <v>Vollständig</v>
      </c>
      <c r="D6" s="86" t="str">
        <f>IF(H6=1,"Click here to provide a Description of Scope","")</f>
        <v/>
      </c>
      <c r="E6" s="17" t="s">
        <v>15</v>
      </c>
      <c r="F6" s="85">
        <f>IF(OR(B5=Declaration!P9,B5=Declaration!Q9,B5=0),0,1)</f>
        <v>0</v>
      </c>
      <c r="G6" s="63">
        <f t="shared" si="1"/>
        <v>1</v>
      </c>
      <c r="H6" s="64">
        <f t="shared" si="2"/>
        <v>0</v>
      </c>
      <c r="I6" s="132" t="str">
        <f ca="1">OFFSET(L!$C$1,MATCH("Checker"&amp;"Comp",L!$A:$A,0)-1,SL,,)</f>
        <v>Vollständig</v>
      </c>
      <c r="J6" s="16" t="str">
        <f ca="1">OFFSET(L!$C$1,MATCH("Checker"&amp;ADDRESS(ROW(),COLUMN(),4),L!$A:$A,0)-1,SL,,)</f>
        <v>Geben Sie eine Beschreibung des Umfangs in der Reiterzelle D10 der Erklärung an</v>
      </c>
    </row>
    <row r="7" spans="1:10" ht="39">
      <c r="A7" s="136" t="str">
        <f ca="1">Declaration!B15</f>
        <v>Name des Ansprechpartners (*):</v>
      </c>
      <c r="B7" s="80" t="str">
        <f>Declaration!D15</f>
        <v>Viktor Daubert</v>
      </c>
      <c r="C7" s="137" t="str">
        <f t="shared" ca="1" si="0"/>
        <v>Vollständig</v>
      </c>
      <c r="D7" s="86" t="str">
        <f>IF(H7=1,"Click here to enter Contact Name","")</f>
        <v/>
      </c>
      <c r="E7" s="17" t="s">
        <v>15</v>
      </c>
      <c r="F7" s="84">
        <v>1</v>
      </c>
      <c r="G7" s="63">
        <f t="shared" si="1"/>
        <v>0</v>
      </c>
      <c r="H7" s="64">
        <f t="shared" si="2"/>
        <v>0</v>
      </c>
      <c r="I7" s="132" t="str">
        <f ca="1">OFFSET(L!$C$1,MATCH("Checker"&amp;"Comp",L!$A:$A,0)-1,SL,,)</f>
        <v>Vollständig</v>
      </c>
      <c r="J7" s="16" t="str">
        <f ca="1">OFFSET(L!$C$1,MATCH("Checker"&amp;ADDRESS(ROW(),COLUMN(),4),L!$A:$A,0)-1,SL,,)</f>
        <v>Geben Sie einen Kontaktnamen in der Reiterzelle D15 der Erklärung an</v>
      </c>
    </row>
    <row r="8" spans="1:10" ht="39">
      <c r="A8" s="136" t="str">
        <f ca="1">Declaration!B16</f>
        <v>E-Mail-Adresse des Ansprechpartners (*):</v>
      </c>
      <c r="B8" s="80" t="str">
        <f>Declaration!D16</f>
        <v>V.Daubert@xbk-kabel.de</v>
      </c>
      <c r="C8" s="137" t="str">
        <f t="shared" ca="1" si="0"/>
        <v>Vollständig</v>
      </c>
      <c r="D8" s="86" t="str">
        <f>IF(H8=1,"Click here to enter Email-Contact","")</f>
        <v/>
      </c>
      <c r="E8" s="17" t="s">
        <v>15</v>
      </c>
      <c r="F8" s="84">
        <v>1</v>
      </c>
      <c r="G8" s="63">
        <f>IF(ISNUMBER(SEARCH("@",B8)),0,1)</f>
        <v>0</v>
      </c>
      <c r="H8" s="64">
        <f t="shared" si="2"/>
        <v>0</v>
      </c>
      <c r="I8" s="132" t="str">
        <f ca="1">OFFSET(L!$C$1,MATCH("Checker"&amp;"Comp",L!$A:$A,0)-1,SL,,)</f>
        <v>Vollständig</v>
      </c>
      <c r="J8" s="16" t="str">
        <f ca="1">OFFSET(L!$C$1,MATCH("Checker"&amp;ADDRESS(ROW(),COLUMN(),4),L!$A:$A,0)-1,SL,,)</f>
        <v>Geben Sie eine gültige Kontakt-E-Mail-Adresse in der Reiterzelle D16 der Erklärung an</v>
      </c>
    </row>
    <row r="9" spans="1:10" ht="39">
      <c r="A9" s="136" t="str">
        <f ca="1">Declaration!B17</f>
        <v>Telefonnummer des Ansprechpartners (*):</v>
      </c>
      <c r="B9" s="80" t="str">
        <f>Declaration!D17</f>
        <v>+49 (0)741/254-137</v>
      </c>
      <c r="C9" s="137" t="str">
        <f t="shared" ca="1" si="0"/>
        <v>Vollständig</v>
      </c>
      <c r="D9" s="86" t="str">
        <f>IF(H9=1,"Click here to enter Phone-Contact","")</f>
        <v/>
      </c>
      <c r="E9" s="17" t="s">
        <v>15</v>
      </c>
      <c r="F9" s="84">
        <v>1</v>
      </c>
      <c r="G9" s="63">
        <f t="shared" si="1"/>
        <v>0</v>
      </c>
      <c r="H9" s="64">
        <f t="shared" si="2"/>
        <v>0</v>
      </c>
      <c r="I9" s="132" t="str">
        <f ca="1">OFFSET(L!$C$1,MATCH("Checker"&amp;"Comp",L!$A:$A,0)-1,SL,,)</f>
        <v>Vollständig</v>
      </c>
      <c r="J9" s="16" t="str">
        <f ca="1">OFFSET(L!$C$1,MATCH("Checker"&amp;ADDRESS(ROW(),COLUMN(),4),L!$A:$A,0)-1,SL,,)</f>
        <v>Geben Sie eine Kontakttelefonnummer in der Reiterzelle D17 der Erklärung an</v>
      </c>
    </row>
    <row r="10" spans="1:10" ht="39">
      <c r="A10" s="136" t="str">
        <f ca="1">Declaration!B18</f>
        <v>Bevollmächtigter (*):</v>
      </c>
      <c r="B10" s="80" t="str">
        <f>Declaration!D18</f>
        <v>Aristotelis Papadopoulos</v>
      </c>
      <c r="C10" s="137" t="str">
        <f t="shared" ref="C10:C58" ca="1" si="3">IF(H10=1,J10,I10)</f>
        <v>Vollständig</v>
      </c>
      <c r="D10" s="86" t="str">
        <f>IF(H10=1,"Click here to enter an Authorized Company Representative's name","")</f>
        <v/>
      </c>
      <c r="E10" s="17" t="s">
        <v>15</v>
      </c>
      <c r="F10" s="84">
        <v>1</v>
      </c>
      <c r="G10" s="63">
        <f t="shared" ref="G10:G18" si="4">IF(B10=0,1,0)</f>
        <v>0</v>
      </c>
      <c r="H10" s="64">
        <f t="shared" si="2"/>
        <v>0</v>
      </c>
      <c r="I10" s="132" t="str">
        <f ca="1">OFFSET(L!$C$1,MATCH("Checker"&amp;"Comp",L!$A:$A,0)-1,SL,,)</f>
        <v>Vollständig</v>
      </c>
      <c r="J10" s="16" t="str">
        <f ca="1">OFFSET(L!$C$1,MATCH("Checker"&amp;ADDRESS(ROW(),COLUMN(),4),L!$A:$A,0)-1,SL,,)</f>
        <v>Geben Sie den Kontaktnamen eines bevollmächtigten Unternehmensvertreters in der Reiterzelle D18 der Erklärung an</v>
      </c>
    </row>
    <row r="11" spans="1:10" ht="39">
      <c r="A11" s="81" t="str">
        <f ca="1">Declaration!B20</f>
        <v>E-Mail-Adresse des Bevollmächtigten (*):</v>
      </c>
      <c r="B11" s="80" t="str">
        <f>Declaration!D20</f>
        <v>A.Papadopoulos@xbk-kabel.de</v>
      </c>
      <c r="C11" s="80" t="str">
        <f t="shared" ca="1" si="3"/>
        <v>Vollständig</v>
      </c>
      <c r="D11" s="86" t="str">
        <f>IF(H11=1,"Click here to enter Representative's email","")</f>
        <v/>
      </c>
      <c r="E11" s="17" t="s">
        <v>15</v>
      </c>
      <c r="F11" s="84">
        <v>1</v>
      </c>
      <c r="G11" s="63">
        <f>IF(ISNUMBER(SEARCH("@",B11)),0,1)</f>
        <v>0</v>
      </c>
      <c r="H11" s="64">
        <f t="shared" si="2"/>
        <v>0</v>
      </c>
      <c r="I11" s="132" t="str">
        <f ca="1">OFFSET(L!$C$1,MATCH("Checker"&amp;"Comp",L!$A:$A,0)-1,SL,,)</f>
        <v>Vollständig</v>
      </c>
      <c r="J11" s="16" t="str">
        <f ca="1">OFFSET(L!$C$1,MATCH("Checker"&amp;ADDRESS(ROW(),COLUMN(),4),L!$A:$A,0)-1,SL,,)</f>
        <v>Geben Sie eine gültige E-Mail-Adresse eines bevollmächtigten Unternehmensvertreters in der Reiterzelle D20 der Erklärung an</v>
      </c>
    </row>
    <row r="12" spans="1:10" ht="39" hidden="1">
      <c r="A12" s="81" t="str">
        <f ca="1">Declaration!B21</f>
        <v>Telefonnummer des Bevollmächtigten:</v>
      </c>
      <c r="B12" s="80">
        <f>Declaration!D21</f>
        <v>0</v>
      </c>
      <c r="C12" s="80" t="str">
        <f ca="1">IF(H12=1,J12,I12)</f>
        <v>Vollständig</v>
      </c>
      <c r="D12" s="86" t="str">
        <f>IF(H12=1,"Click here to enter Representative's phone","")</f>
        <v/>
      </c>
      <c r="E12" s="17" t="s">
        <v>15</v>
      </c>
      <c r="F12" s="84"/>
      <c r="G12" s="63">
        <f>IF(B12=0,1,0)</f>
        <v>1</v>
      </c>
      <c r="H12" s="64">
        <f>F12*G12</f>
        <v>0</v>
      </c>
      <c r="I12" s="132" t="str">
        <f ca="1">OFFSET(L!$C$1,MATCH("Checker"&amp;"Comp",L!$A:$A,0)-1,SL,,)</f>
        <v>Vollständig</v>
      </c>
      <c r="J12" s="16" t="str">
        <f ca="1">OFFSET(L!$C$1,MATCH("Checker"&amp;ADDRESS(ROW(),COLUMN(),4),L!$A:$A,0)-1,SL,,)</f>
        <v>Geben Sie eine Kontakttelefonnummer eines bevollmächtigten Unternehmensvertreters in der Reiterzelle D21 der Erklärung an</v>
      </c>
    </row>
    <row r="13" spans="1:10" ht="39">
      <c r="A13" s="81" t="str">
        <f ca="1">Declaration!B22</f>
        <v>Datum (*):</v>
      </c>
      <c r="B13" s="82">
        <f>Declaration!D22</f>
        <v>45722</v>
      </c>
      <c r="C13" s="80" t="str">
        <f t="shared" ca="1" si="3"/>
        <v>Vollständig</v>
      </c>
      <c r="D13" s="86" t="str">
        <f>IF(H13=1,"Click here to enter Date of Completion","")</f>
        <v/>
      </c>
      <c r="E13" s="17" t="s">
        <v>15</v>
      </c>
      <c r="F13" s="84">
        <v>1</v>
      </c>
      <c r="G13" s="63">
        <f t="shared" si="4"/>
        <v>0</v>
      </c>
      <c r="H13" s="64">
        <f t="shared" si="2"/>
        <v>0</v>
      </c>
      <c r="I13" s="132" t="str">
        <f ca="1">OFFSET(L!$C$1,MATCH("Checker"&amp;"Comp",L!$A:$A,0)-1,SL,,)</f>
        <v>Vollständig</v>
      </c>
      <c r="J13" s="16" t="str">
        <f ca="1">OFFSET(L!$C$1,MATCH("Checker"&amp;ADDRESS(ROW(),COLUMN(),4),L!$A:$A,0)-1,SL,,)</f>
        <v>Geben Sie das Datum der Vervollständigung des Formulars in der Reiterzelle D22 der Erklärung an</v>
      </c>
    </row>
    <row r="14" spans="1:10" ht="63.75">
      <c r="A14" s="80" t="str">
        <f ca="1">Declaration!B25</f>
        <v>1) Wird absichtlich Cobalt oder natürlicher Glimmer im Herstellungsprozess verwendet oder in das bzw. die Produkte aufgenommen? (*)</v>
      </c>
      <c r="B14" s="83"/>
      <c r="C14" s="83"/>
      <c r="D14" s="87"/>
      <c r="E14" s="17" t="s">
        <v>16</v>
      </c>
      <c r="F14" s="84"/>
      <c r="H14" s="16">
        <f t="shared" si="2"/>
        <v>0</v>
      </c>
    </row>
    <row r="15" spans="1:10" ht="26.25">
      <c r="A15" s="81" t="str">
        <f ca="1">Declaration!B26</f>
        <v>Cobalt</v>
      </c>
      <c r="B15" s="80" t="str">
        <f>Declaration!D26</f>
        <v>No</v>
      </c>
      <c r="C15" s="80" t="str">
        <f t="shared" ca="1" si="3"/>
        <v>Vollständig</v>
      </c>
      <c r="D15" s="86" t="str">
        <f>IF(H15=1,"Click here to answer question 1 for Cobalt","")</f>
        <v/>
      </c>
      <c r="E15" s="17" t="s">
        <v>18</v>
      </c>
      <c r="F15" s="84">
        <v>1</v>
      </c>
      <c r="G15" s="63">
        <f t="shared" si="4"/>
        <v>0</v>
      </c>
      <c r="H15" s="64">
        <f t="shared" si="2"/>
        <v>0</v>
      </c>
      <c r="I15" s="132" t="str">
        <f ca="1">OFFSET(L!$C$1,MATCH("Checker"&amp;"Comp",L!$A:$A,0)-1,SL,,)</f>
        <v>Vollständig</v>
      </c>
      <c r="J15" s="133" t="str">
        <f ca="1">OFFSET(L!$C$1,MATCH("Checker"&amp;ADDRESS(ROW(),COLUMN(),4),L!$A:$A,0)-1,SL,,)</f>
        <v>Erklären Sie in der Reiterzelle D26 der Erklärung, ob Cobalt Ihren Produkten absichtlich hinzugefügt wird</v>
      </c>
    </row>
    <row r="16" spans="1:10" ht="39">
      <c r="A16" s="81" t="str">
        <f ca="1">Declaration!B27</f>
        <v>Glimmer(*)</v>
      </c>
      <c r="B16" s="80" t="str">
        <f>Declaration!D27</f>
        <v>Yes</v>
      </c>
      <c r="C16" s="80" t="str">
        <f t="shared" ca="1" si="3"/>
        <v>Vollständig</v>
      </c>
      <c r="D16" s="86" t="str">
        <f>IF(H16=1,"Click here to answer question 1 for Mica","")</f>
        <v/>
      </c>
      <c r="E16" s="17" t="s">
        <v>15</v>
      </c>
      <c r="F16" s="84">
        <v>1</v>
      </c>
      <c r="G16" s="63">
        <f t="shared" si="4"/>
        <v>0</v>
      </c>
      <c r="H16" s="64">
        <f t="shared" si="2"/>
        <v>0</v>
      </c>
      <c r="I16" s="132" t="str">
        <f ca="1">OFFSET(L!$C$1,MATCH("Checker"&amp;"Comp",L!$A:$A,0)-1,SL,,)</f>
        <v>Vollständig</v>
      </c>
      <c r="J16" s="133" t="str">
        <f ca="1">OFFSET(L!$C$1,MATCH("Checker"&amp;ADDRESS(ROW(),COLUMN(),4),L!$A:$A,0)-1,SL,,)</f>
        <v>Erklären Sie in der Reiterzelle D27 der Erklärung, ob natürlicher Glimmer Ihren Produkten absichtlich hinzugefügt wird</v>
      </c>
    </row>
    <row r="17" spans="1:10" ht="39" hidden="1">
      <c r="A17" s="81" t="str">
        <f ca="1">Declaration!B28</f>
        <v/>
      </c>
      <c r="B17" s="80" t="str">
        <f>Declaration!D28</f>
        <v>No</v>
      </c>
      <c r="C17" s="80" t="str">
        <f t="shared" ca="1" si="3"/>
        <v>Vollständig</v>
      </c>
      <c r="D17" s="86" t="str">
        <f>IF(H17=1,"Click here to answer question 1 for Gold","")</f>
        <v/>
      </c>
      <c r="E17" s="17" t="s">
        <v>15</v>
      </c>
      <c r="F17" s="84">
        <v>1</v>
      </c>
      <c r="G17" s="63">
        <f t="shared" si="4"/>
        <v>0</v>
      </c>
      <c r="H17" s="64">
        <f t="shared" si="2"/>
        <v>0</v>
      </c>
      <c r="I17" s="132" t="str">
        <f ca="1">OFFSET(L!$C$1,MATCH("Checker"&amp;"Comp",L!$A:$A,0)-1,SL,,)</f>
        <v>Vollständig</v>
      </c>
      <c r="J17" s="133">
        <f ca="1">OFFSET(L!$C$1,MATCH("Checker"&amp;ADDRESS(ROW(),COLUMN(),4),L!$A:$A,0)-1,SL,,)</f>
        <v>0</v>
      </c>
    </row>
    <row r="18" spans="1:10" ht="39" hidden="1">
      <c r="A18" s="81" t="str">
        <f ca="1">Declaration!B29</f>
        <v/>
      </c>
      <c r="B18" s="80" t="str">
        <f>Declaration!D29</f>
        <v>No</v>
      </c>
      <c r="C18" s="80" t="str">
        <f t="shared" ca="1" si="3"/>
        <v>Vollständig</v>
      </c>
      <c r="D18" s="86" t="str">
        <f>IF(H18=1,"Click here to answer question 1 for Tungsten","")</f>
        <v/>
      </c>
      <c r="E18" s="17" t="s">
        <v>15</v>
      </c>
      <c r="F18" s="84">
        <v>1</v>
      </c>
      <c r="G18" s="63">
        <f t="shared" si="4"/>
        <v>0</v>
      </c>
      <c r="H18" s="64">
        <f t="shared" si="2"/>
        <v>0</v>
      </c>
      <c r="I18" s="132" t="str">
        <f ca="1">OFFSET(L!$C$1,MATCH("Checker"&amp;"Comp",L!$A:$A,0)-1,SL,,)</f>
        <v>Vollständig</v>
      </c>
      <c r="J18" s="133">
        <f ca="1">OFFSET(L!$C$1,MATCH("Checker"&amp;ADDRESS(ROW(),COLUMN(),4),L!$A:$A,0)-1,SL,,)</f>
        <v>0</v>
      </c>
    </row>
    <row r="19" spans="1:10" ht="38.25">
      <c r="A19" s="80" t="str">
        <f ca="1">Declaration!B31</f>
        <v>2) Verbleibt Cobalt oder natürlicher Glimmer in dem bzw. den Produkten? (*)</v>
      </c>
      <c r="B19" s="83"/>
      <c r="C19" s="83"/>
      <c r="D19" s="87"/>
      <c r="E19" s="17" t="s">
        <v>15</v>
      </c>
      <c r="F19" s="84"/>
      <c r="J19" s="133"/>
    </row>
    <row r="20" spans="1:10" ht="63.6" customHeight="1">
      <c r="A20" s="81" t="str">
        <f ca="1">Declaration!B32</f>
        <v>Cobalt</v>
      </c>
      <c r="B20" s="80">
        <f>Declaration!D32</f>
        <v>0</v>
      </c>
      <c r="C20" s="137" t="str">
        <f t="shared" ref="C20:C21" ca="1" si="5">IF(H20=1,J20,I20)</f>
        <v>Vollständig</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Vollständig</v>
      </c>
      <c r="J20" s="16" t="str">
        <f ca="1">OFFSET(L!$C$1,MATCH("Checker"&amp;ADDRESS(ROW(),COLUMN(),4),L!$A:$A,0)-1,SL,,)</f>
        <v>Erklären Sie in der Reiterzelle D32 der Erklärung, ob Cobalt für die Herstellung Ihrer Produkte erforderlich ist und ob es in den angegebenen Endprodukten enthalten ist</v>
      </c>
    </row>
    <row r="21" spans="1:10" ht="50.1" customHeight="1">
      <c r="A21" s="81" t="str">
        <f ca="1">Declaration!B33</f>
        <v>Glimmer(*)</v>
      </c>
      <c r="B21" s="80" t="str">
        <f>Declaration!D33</f>
        <v>Yes</v>
      </c>
      <c r="C21" s="137" t="str">
        <f t="shared" ca="1" si="5"/>
        <v>Vollständig</v>
      </c>
      <c r="D21" s="232" t="str">
        <f>IF(H21=1,"Click here to answer question 2 for Mica","")</f>
        <v/>
      </c>
      <c r="E21" s="17" t="s">
        <v>15</v>
      </c>
      <c r="F21" s="85">
        <f>IF(OR(B$16="No",B$16="Unknown",B$16="Not applicable for this declaration"),0,1)</f>
        <v>1</v>
      </c>
      <c r="G21" s="63">
        <f t="shared" ref="G21" si="6">IF(B21=0,1,0)</f>
        <v>0</v>
      </c>
      <c r="H21" s="64">
        <f t="shared" ref="H21" si="7">F21*G21</f>
        <v>0</v>
      </c>
      <c r="I21" s="132" t="str">
        <f ca="1">OFFSET(L!$C$1,MATCH("Checker"&amp;"Comp",L!$A:$A,0)-1,SL,,)</f>
        <v>Vollständig</v>
      </c>
      <c r="J21" s="16" t="str">
        <f ca="1">OFFSET(L!$C$1,MATCH("Checker"&amp;ADDRESS(ROW(),COLUMN(),4),L!$A:$A,0)-1,SL,,)</f>
        <v>Erklären Sie in der Reiterzelle D33 der Erklärung, ob Glimmer für die Herstellung Ihrer Produkte erforderlich ist und ob es in den angegebenen Endprodukten enthalten ist</v>
      </c>
    </row>
    <row r="22" spans="1:10" ht="63.75">
      <c r="A22" s="80" t="str">
        <f ca="1">Declaration!B37</f>
        <v>3) Bezieht einer der Verhüttungsbetrieb oder das Verarbeitungsunternehmen in Ihrer Lieferkette das Cobalt oder den natürlichen Glimmer aus Konflikt- und Hochrisikogebieten? (OECD Due Diligence Guidance, siehe Registerkarte Definitionen)(*)</v>
      </c>
      <c r="B22" s="83"/>
      <c r="C22" s="83"/>
      <c r="D22" s="87"/>
      <c r="E22" s="17" t="s">
        <v>15</v>
      </c>
      <c r="F22" s="84"/>
      <c r="J22" s="133"/>
    </row>
    <row r="23" spans="1:10" ht="49.5" customHeight="1">
      <c r="A23" s="81" t="str">
        <f ca="1">Declaration!B38</f>
        <v>Cobalt</v>
      </c>
      <c r="B23" s="80">
        <f>Declaration!D38</f>
        <v>0</v>
      </c>
      <c r="C23" s="137" t="str">
        <f t="shared" ca="1" si="3"/>
        <v>Vollständig</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Vollständig</v>
      </c>
      <c r="J23" s="16" t="str">
        <f ca="1">OFFSET(L!$C$1,MATCH("Checker"&amp;ADDRESS(ROW(),COLUMN(),4),L!$A:$A,0)-1,SL,,)</f>
        <v>Geben Sie in Zelle D38 der Erklärung, ob innerhalb des Umfangs der in dieser Umfrage angegebenen Produkte verwendetes Cobalt aus einem konfliktbetroffenen und risikoreichen Gebiet stammt</v>
      </c>
    </row>
    <row r="24" spans="1:10" ht="54" customHeight="1">
      <c r="A24" s="81" t="str">
        <f ca="1">Declaration!B39</f>
        <v>Glimmer(*)</v>
      </c>
      <c r="B24" s="80" t="str">
        <f>Declaration!D39</f>
        <v>No</v>
      </c>
      <c r="C24" s="137" t="str">
        <f t="shared" ca="1" si="3"/>
        <v>Vollständig</v>
      </c>
      <c r="D24" s="232" t="str">
        <f>IF(H24=1,"Click here to answer question 3 for Mica","")</f>
        <v/>
      </c>
      <c r="E24" s="17" t="s">
        <v>15</v>
      </c>
      <c r="F24" s="85">
        <f>IF(OR(B$16="No",B$16="Unknown",B$16="Not applicable for this declaration",B$21="No",B$21="Unknown",B$21="Not applicable for this declaration"),0,1)</f>
        <v>1</v>
      </c>
      <c r="G24" s="63">
        <f t="shared" si="8"/>
        <v>0</v>
      </c>
      <c r="H24" s="64">
        <f t="shared" si="9"/>
        <v>0</v>
      </c>
      <c r="I24" s="132" t="str">
        <f ca="1">OFFSET(L!$C$1,MATCH("Checker"&amp;"Comp",L!$A:$A,0)-1,SL,,)</f>
        <v>Vollständig</v>
      </c>
      <c r="J24" s="16" t="str">
        <f ca="1">OFFSET(L!$C$1,MATCH("Checker"&amp;ADDRESS(ROW(),COLUMN(),4),L!$A:$A,0)-1,SL,,)</f>
        <v>Geben Sie in Zelle D39 der Erklärung an, ob innerhalb des Umfangs der in dieser Umfrage angegebenen Produkte verwendetes Glimmer aus einem konfliktbetroffenen und risikoreichen Gebiet stammt</v>
      </c>
    </row>
    <row r="25" spans="1:10" ht="39" hidden="1">
      <c r="A25" s="81">
        <f ca="1">Declaration!B40</f>
        <v>0</v>
      </c>
      <c r="B25" s="80">
        <f>Declaration!D40</f>
        <v>0</v>
      </c>
      <c r="C25" s="137" t="str">
        <f t="shared" ca="1" si="3"/>
        <v>Vollständig</v>
      </c>
      <c r="D25" s="88" t="str">
        <f>IF(H25=1,"Click here to answer question 3 for Gold","")</f>
        <v/>
      </c>
      <c r="E25" s="17" t="s">
        <v>15</v>
      </c>
      <c r="F25" s="85">
        <f>IF(B$17="No",0,1)</f>
        <v>0</v>
      </c>
      <c r="G25" s="63">
        <f t="shared" si="8"/>
        <v>1</v>
      </c>
      <c r="H25" s="64">
        <f t="shared" si="9"/>
        <v>0</v>
      </c>
      <c r="I25" s="132" t="str">
        <f ca="1">OFFSET(L!$C$1,MATCH("Checker"&amp;"Comp",L!$A:$A,0)-1,SL,,)</f>
        <v>Vollständig</v>
      </c>
      <c r="J25" s="16" t="e">
        <f ca="1">OFFSET(L!$C$1,MATCH("Checker"&amp;ADDRESS(ROW(),COLUMN(),4),L!$A:$A,0)-1,SL,,)</f>
        <v>#N/A</v>
      </c>
    </row>
    <row r="26" spans="1:10" ht="39" hidden="1">
      <c r="A26" s="81">
        <f ca="1">Declaration!B41</f>
        <v>0</v>
      </c>
      <c r="B26" s="80">
        <f>Declaration!D41</f>
        <v>0</v>
      </c>
      <c r="C26" s="137" t="str">
        <f t="shared" ca="1" si="3"/>
        <v>Vollständig</v>
      </c>
      <c r="D26" s="88" t="str">
        <f>IF(H26=1,"Click here to answer question 3 for Tungsten","")</f>
        <v/>
      </c>
      <c r="E26" s="17" t="s">
        <v>15</v>
      </c>
      <c r="F26" s="85">
        <f>IF(B$18="No",0,1)</f>
        <v>0</v>
      </c>
      <c r="G26" s="63">
        <f t="shared" si="8"/>
        <v>1</v>
      </c>
      <c r="H26" s="64">
        <f t="shared" si="9"/>
        <v>0</v>
      </c>
      <c r="I26" s="132" t="str">
        <f ca="1">OFFSET(L!$C$1,MATCH("Checker"&amp;"Comp",L!$A:$A,0)-1,SL,,)</f>
        <v>Vollständig</v>
      </c>
      <c r="J26" s="16" t="e">
        <f ca="1">OFFSET(L!$C$1,MATCH("Checker"&amp;ADDRESS(ROW(),COLUMN(),4),L!$A:$A,0)-1,SL,,)</f>
        <v>#N/A</v>
      </c>
    </row>
    <row r="27" spans="1:10" ht="38.25">
      <c r="A27" s="80" t="str">
        <f ca="1">Declaration!B43</f>
        <v>4) Stammt 100 Prozent des Cobalts aus Recycling- oder Schrottquellen?(*)</v>
      </c>
      <c r="B27" s="83"/>
      <c r="C27" s="83"/>
      <c r="D27" s="87"/>
      <c r="E27" s="17" t="s">
        <v>15</v>
      </c>
      <c r="F27" s="84"/>
      <c r="J27" s="133"/>
    </row>
    <row r="28" spans="1:10" ht="59.45" customHeight="1">
      <c r="A28" s="81" t="str">
        <f ca="1">Declaration!B44</f>
        <v>Cobalt</v>
      </c>
      <c r="B28" s="80">
        <f>Declaration!D44</f>
        <v>0</v>
      </c>
      <c r="C28" s="137" t="str">
        <f ca="1">IF(H28=1,J28,I28)</f>
        <v>Vollständig</v>
      </c>
      <c r="D28" s="195" t="str">
        <f>IF(H28=1,"Click here to answer question 4 for Cobalt","")</f>
        <v/>
      </c>
      <c r="E28" s="17" t="s">
        <v>15</v>
      </c>
      <c r="F28" s="85">
        <f>F23</f>
        <v>0</v>
      </c>
      <c r="G28" s="63">
        <f>IF(B28=0,1,0)</f>
        <v>1</v>
      </c>
      <c r="H28" s="64">
        <f>F28*G28</f>
        <v>0</v>
      </c>
      <c r="I28" s="132" t="str">
        <f ca="1">OFFSET(L!$C$1,MATCH("Checker"&amp;"Comp",L!$A:$A,0)-1,SL,,)</f>
        <v>Vollständig</v>
      </c>
      <c r="J28" s="133" t="str">
        <f ca="1">OFFSET(L!$C$1,MATCH("Checker"&amp;ADDRESS(ROW(),COLUMN(),4),L!$A:$A,0)-1,SL,,)</f>
        <v>Erklären Sie in der Reiterzelle D44 der Erklärung, ob innerhalb des Umfangs der in dieser Umfrage angegebenen Produkte verwendetes Cobalt vollständig aus Recycling oder Schrott stammt</v>
      </c>
    </row>
    <row r="29" spans="1:10" ht="48.6" hidden="1" customHeight="1">
      <c r="A29" s="81">
        <f>Declaration!B45</f>
        <v>0</v>
      </c>
      <c r="B29" s="80">
        <f>Declaration!D45</f>
        <v>0</v>
      </c>
      <c r="C29" s="137" t="str">
        <f ca="1">IF(H29=1,J29,I29)</f>
        <v>Vollständig</v>
      </c>
      <c r="D29" s="88" t="str">
        <f>IF(H29=1,"Click here to answer question 4 for Mica","")</f>
        <v/>
      </c>
      <c r="E29" s="17" t="s">
        <v>15</v>
      </c>
      <c r="F29" s="85"/>
      <c r="G29" s="63">
        <f>IF(B29=0,1,0)</f>
        <v>1</v>
      </c>
      <c r="H29" s="64">
        <f>F29*G29</f>
        <v>0</v>
      </c>
      <c r="I29" s="132" t="str">
        <f ca="1">OFFSET(L!$C$1,MATCH("Checker"&amp;"Comp",L!$A:$A,0)-1,SL,,)</f>
        <v>Vollständig</v>
      </c>
      <c r="J29" s="133" t="str">
        <f ca="1">OFFSET(L!$C$1,MATCH("Checker"&amp;ADDRESS(ROW(),COLUMN(),4),L!$A:$A,0)-1,SL,,)</f>
        <v>Erklären Sie in der Reiterzelle D45 der Erklärung, ob innerhalb des Umfangs der in dieser Umfrage angegebenen Produkte verwendetes Gimmer vollständig aus Recycling oder Schrott stammt</v>
      </c>
    </row>
    <row r="30" spans="1:10" ht="39" hidden="1">
      <c r="A30" s="81">
        <f ca="1">Declaration!B46</f>
        <v>0</v>
      </c>
      <c r="B30" s="80">
        <f>Declaration!D46</f>
        <v>0</v>
      </c>
      <c r="C30" s="137" t="str">
        <f ca="1">IF(H30=1,J30,I30)</f>
        <v>Vollständig</v>
      </c>
      <c r="D30" s="88" t="str">
        <f>IF(H30=1,"Click here to answer question 4 for Gold","")</f>
        <v/>
      </c>
      <c r="E30" s="17" t="s">
        <v>15</v>
      </c>
      <c r="F30" s="85">
        <f>F25</f>
        <v>0</v>
      </c>
      <c r="G30" s="63">
        <f>IF(B30=0,1,0)</f>
        <v>1</v>
      </c>
      <c r="H30" s="64">
        <f>F30*G30</f>
        <v>0</v>
      </c>
      <c r="I30" s="132" t="str">
        <f ca="1">OFFSET(L!$C$1,MATCH("Checker"&amp;"Comp",L!$A:$A,0)-1,SL,,)</f>
        <v>Vollständig</v>
      </c>
      <c r="J30" s="133" t="e">
        <f ca="1">OFFSET(L!$C$1,MATCH("Checker"&amp;ADDRESS(ROW(),COLUMN(),4),L!$A:$A,0)-1,SL,,)</f>
        <v>#N/A</v>
      </c>
    </row>
    <row r="31" spans="1:10" ht="39" hidden="1">
      <c r="A31" s="81">
        <f ca="1">Declaration!B47</f>
        <v>0</v>
      </c>
      <c r="B31" s="80">
        <f>Declaration!D47</f>
        <v>0</v>
      </c>
      <c r="C31" s="137" t="str">
        <f ca="1">IF(H31=1,J31,I31)</f>
        <v>Vollständig</v>
      </c>
      <c r="D31" s="88" t="str">
        <f>IF(H31=1,"Click here to answer question 4 for Tungsten","")</f>
        <v/>
      </c>
      <c r="E31" s="17" t="s">
        <v>15</v>
      </c>
      <c r="F31" s="85">
        <f>F26</f>
        <v>0</v>
      </c>
      <c r="G31" s="63">
        <f>IF(B31=0,1,0)</f>
        <v>1</v>
      </c>
      <c r="H31" s="64">
        <f>F31*G31</f>
        <v>0</v>
      </c>
      <c r="I31" s="132" t="str">
        <f ca="1">OFFSET(L!$C$1,MATCH("Checker"&amp;"Comp",L!$A:$A,0)-1,SL,,)</f>
        <v>Vollständig</v>
      </c>
      <c r="J31" s="133" t="e">
        <f ca="1">OFFSET(L!$C$1,MATCH("Checker"&amp;ADDRESS(ROW(),COLUMN(),4),L!$A:$A,0)-1,SL,,)</f>
        <v>#N/A</v>
      </c>
    </row>
    <row r="32" spans="1:10" ht="38.25">
      <c r="A32" s="80" t="str">
        <f ca="1">Declaration!B49</f>
        <v>5) Wie hoch ist der Prozentsatz an Lieferanten, die auf Ihre Lieferkettenumfrage geantwortet haben?(*)</v>
      </c>
      <c r="B32" s="83"/>
      <c r="C32" s="83"/>
      <c r="D32" s="87"/>
      <c r="E32" s="17" t="s">
        <v>15</v>
      </c>
      <c r="F32" s="84"/>
    </row>
    <row r="33" spans="1:10" ht="26.25">
      <c r="A33" s="81" t="str">
        <f ca="1">Declaration!B50</f>
        <v>Cobalt</v>
      </c>
      <c r="B33" s="80">
        <f>Declaration!D50</f>
        <v>0</v>
      </c>
      <c r="C33" s="137" t="str">
        <f t="shared" ca="1" si="3"/>
        <v>Vollständig</v>
      </c>
      <c r="D33" s="232" t="str">
        <f>IF(H33=1,"Click here to answer question 5 for Cobalt","")</f>
        <v/>
      </c>
      <c r="E33" s="17" t="s">
        <v>18</v>
      </c>
      <c r="F33" s="85">
        <f>F23</f>
        <v>0</v>
      </c>
      <c r="G33" s="63">
        <f t="shared" si="8"/>
        <v>1</v>
      </c>
      <c r="H33" s="64">
        <f t="shared" si="9"/>
        <v>0</v>
      </c>
      <c r="I33" s="132" t="str">
        <f ca="1">OFFSET(L!$C$1,MATCH("Checker"&amp;"Comp",L!$A:$A,0)-1,SL,,)</f>
        <v>Vollständig</v>
      </c>
      <c r="J33" s="16" t="str">
        <f ca="1">OFFSET(L!$C$1,MATCH("Checker"&amp;ADDRESS(ROW(),COLUMN(),4),L!$A:$A,0)-1,SL,,)</f>
        <v>Geben Sie den Vollständigkeitsgrad der Schmelzhütteninformationen des Anbieters in Prozent in der Reiterzelle D50 der Erklärung an</v>
      </c>
    </row>
    <row r="34" spans="1:10" ht="26.25">
      <c r="A34" s="81" t="str">
        <f ca="1">Declaration!B51</f>
        <v>Glimmer(*)</v>
      </c>
      <c r="B34" s="80">
        <f>Declaration!D51</f>
        <v>1</v>
      </c>
      <c r="C34" s="137" t="str">
        <f t="shared" ca="1" si="3"/>
        <v>Vollständig</v>
      </c>
      <c r="D34" s="86" t="str">
        <f>IF(H34=1,"Click here to answer question 5 for Mica","")</f>
        <v/>
      </c>
      <c r="E34" s="17" t="s">
        <v>18</v>
      </c>
      <c r="F34" s="85">
        <f>F24</f>
        <v>1</v>
      </c>
      <c r="G34" s="63">
        <f t="shared" si="8"/>
        <v>0</v>
      </c>
      <c r="H34" s="64">
        <f t="shared" si="9"/>
        <v>0</v>
      </c>
      <c r="I34" s="132" t="str">
        <f ca="1">OFFSET(L!$C$1,MATCH("Checker"&amp;"Comp",L!$A:$A,0)-1,SL,,)</f>
        <v>Vollständig</v>
      </c>
      <c r="J34" s="16" t="str">
        <f ca="1">OFFSET(L!$C$1,MATCH("Checker"&amp;ADDRESS(ROW(),COLUMN(),4),L!$A:$A,0)-1,SL,,)</f>
        <v>Geben Sie den Vollständigkeitsgrad der Schmelzhütteninformationen des Anbieters in Prozent in der Reiterzelle D51 der Erklärung an</v>
      </c>
    </row>
    <row r="35" spans="1:10" ht="26.25" hidden="1">
      <c r="A35" s="81">
        <f ca="1">Declaration!B52</f>
        <v>0</v>
      </c>
      <c r="B35" s="80">
        <f>Declaration!D52</f>
        <v>0</v>
      </c>
      <c r="C35" s="137" t="str">
        <f t="shared" ca="1" si="3"/>
        <v>Vollständig</v>
      </c>
      <c r="D35" s="86" t="str">
        <f>IF(H35=1,"Click here to answer question 5 for Gold","")</f>
        <v/>
      </c>
      <c r="E35" s="17" t="s">
        <v>18</v>
      </c>
      <c r="F35" s="85">
        <f>F25</f>
        <v>0</v>
      </c>
      <c r="G35" s="63">
        <f t="shared" si="8"/>
        <v>1</v>
      </c>
      <c r="H35" s="64">
        <f t="shared" si="9"/>
        <v>0</v>
      </c>
      <c r="I35" s="132" t="str">
        <f ca="1">OFFSET(L!$C$1,MATCH("Checker"&amp;"Comp",L!$A:$A,0)-1,SL,,)</f>
        <v>Vollständig</v>
      </c>
      <c r="J35" s="16" t="e">
        <f ca="1">OFFSET(L!$C$1,MATCH("Checker"&amp;ADDRESS(ROW(),COLUMN(),4),L!$A:$A,0)-1,SL,,)</f>
        <v>#N/A</v>
      </c>
    </row>
    <row r="36" spans="1:10" ht="26.25" hidden="1">
      <c r="A36" s="81">
        <f ca="1">Declaration!B53</f>
        <v>0</v>
      </c>
      <c r="B36" s="80">
        <f>Declaration!D53</f>
        <v>0</v>
      </c>
      <c r="C36" s="137" t="str">
        <f t="shared" ca="1" si="3"/>
        <v>Vollständig</v>
      </c>
      <c r="D36" s="86" t="str">
        <f>IF(H36=1,"Click here to answer question 5 for Tungsten","")</f>
        <v/>
      </c>
      <c r="E36" s="17" t="s">
        <v>18</v>
      </c>
      <c r="F36" s="85">
        <f>F26</f>
        <v>0</v>
      </c>
      <c r="G36" s="63">
        <f t="shared" si="8"/>
        <v>1</v>
      </c>
      <c r="H36" s="64">
        <f t="shared" si="9"/>
        <v>0</v>
      </c>
      <c r="I36" s="132" t="str">
        <f ca="1">OFFSET(L!$C$1,MATCH("Checker"&amp;"Comp",L!$A:$A,0)-1,SL,,)</f>
        <v>Vollständig</v>
      </c>
      <c r="J36" s="16" t="e">
        <f ca="1">OFFSET(L!$C$1,MATCH("Checker"&amp;ADDRESS(ROW(),COLUMN(),4),L!$A:$A,0)-1,SL,,)</f>
        <v>#N/A</v>
      </c>
    </row>
    <row r="37" spans="1:10" ht="51">
      <c r="A37" s="80" t="str">
        <f ca="1">Declaration!B55</f>
        <v>6) Kennen Sie alle Verhüttungsbetriebe oder Verarbeitungsunternehmen, die das Cobalt oder den natürlichen Glimmer für Ihre Lieferkette bereitstellen?(*)</v>
      </c>
      <c r="B37" s="83"/>
      <c r="C37" s="83"/>
      <c r="D37" s="87"/>
      <c r="E37" s="17" t="s">
        <v>13</v>
      </c>
      <c r="F37" s="84"/>
    </row>
    <row r="38" spans="1:10" ht="51.75">
      <c r="A38" s="81" t="str">
        <f ca="1">Declaration!B56</f>
        <v>Cobalt</v>
      </c>
      <c r="B38" s="80">
        <f>Declaration!D56</f>
        <v>0</v>
      </c>
      <c r="C38" s="137" t="str">
        <f t="shared" ca="1" si="3"/>
        <v>Vollständig</v>
      </c>
      <c r="D38" s="232" t="str">
        <f>IF(H38=1,"Click here to answer question 6 for Cobalt","")</f>
        <v/>
      </c>
      <c r="E38" s="17" t="s">
        <v>13</v>
      </c>
      <c r="F38" s="85">
        <f>F23</f>
        <v>0</v>
      </c>
      <c r="G38" s="63">
        <f t="shared" si="8"/>
        <v>1</v>
      </c>
      <c r="H38" s="64">
        <f t="shared" si="9"/>
        <v>0</v>
      </c>
      <c r="I38" s="132" t="str">
        <f ca="1">OFFSET(L!$C$1,MATCH("Checker"&amp;"Comp",L!$A:$A,0)-1,SL,,)</f>
        <v>Vollständig</v>
      </c>
      <c r="J38" s="16" t="str">
        <f ca="1">OFFSET(L!$C$1,MATCH("Checker"&amp;ADDRESS(ROW(),COLUMN(),4),L!$A:$A,0)-1,SL,,)</f>
        <v xml:space="preserve">Geben Sie in der Reiterzelle D56 der Erklärung an, ob alle Schmelzhüttennamen in der Antwort auf diese Umfrage im Umfang der angegebenen Produkte zur Verfügung gestellt worden sind </v>
      </c>
    </row>
    <row r="39" spans="1:10" ht="51.75">
      <c r="A39" s="81" t="str">
        <f ca="1">Declaration!B57</f>
        <v>Glimmer(*)</v>
      </c>
      <c r="B39" s="80" t="str">
        <f>Declaration!D57</f>
        <v>Yes</v>
      </c>
      <c r="C39" s="137" t="str">
        <f t="shared" ca="1" si="3"/>
        <v>Vollständig</v>
      </c>
      <c r="D39" s="88" t="str">
        <f>IF(H39=1,"Click here to answer question 6 for Mica","")</f>
        <v/>
      </c>
      <c r="E39" s="17" t="s">
        <v>13</v>
      </c>
      <c r="F39" s="85">
        <f>F24</f>
        <v>1</v>
      </c>
      <c r="G39" s="63">
        <f t="shared" si="8"/>
        <v>0</v>
      </c>
      <c r="H39" s="64">
        <f t="shared" si="9"/>
        <v>0</v>
      </c>
      <c r="I39" s="132" t="str">
        <f ca="1">OFFSET(L!$C$1,MATCH("Checker"&amp;"Comp",L!$A:$A,0)-1,SL,,)</f>
        <v>Vollständig</v>
      </c>
      <c r="J39" s="16" t="str">
        <f ca="1">OFFSET(L!$C$1,MATCH("Checker"&amp;ADDRESS(ROW(),COLUMN(),4),L!$A:$A,0)-1,SL,,)</f>
        <v xml:space="preserve">Geben Sie in der Reiterzelle D57 der Erklärung an, ob alle Schmelzhüttennamen in der Antwort auf diese Umfrage im Umfang der angegebenen Produkte zur Verfügung gestellt worden sind </v>
      </c>
    </row>
    <row r="40" spans="1:10" ht="51.75" hidden="1">
      <c r="A40" s="81">
        <f ca="1">Declaration!B58</f>
        <v>0</v>
      </c>
      <c r="B40" s="80">
        <f>Declaration!D58</f>
        <v>0</v>
      </c>
      <c r="C40" s="137" t="str">
        <f t="shared" ca="1" si="3"/>
        <v>Vollständig</v>
      </c>
      <c r="D40" s="88" t="str">
        <f>IF(H40=1,"Click here to answer question 6 for Gold","")</f>
        <v/>
      </c>
      <c r="E40" s="17" t="s">
        <v>13</v>
      </c>
      <c r="F40" s="85">
        <f>F25</f>
        <v>0</v>
      </c>
      <c r="G40" s="63">
        <f t="shared" si="8"/>
        <v>1</v>
      </c>
      <c r="H40" s="64">
        <f t="shared" si="9"/>
        <v>0</v>
      </c>
      <c r="I40" s="132" t="str">
        <f ca="1">OFFSET(L!$C$1,MATCH("Checker"&amp;"Comp",L!$A:$A,0)-1,SL,,)</f>
        <v>Vollständig</v>
      </c>
      <c r="J40" s="16" t="e">
        <f ca="1">OFFSET(L!$C$1,MATCH("Checker"&amp;ADDRESS(ROW(),COLUMN(),4),L!$A:$A,0)-1,SL,,)</f>
        <v>#N/A</v>
      </c>
    </row>
    <row r="41" spans="1:10" ht="51.75" hidden="1">
      <c r="A41" s="81">
        <f ca="1">Declaration!B59</f>
        <v>0</v>
      </c>
      <c r="B41" s="80">
        <f>Declaration!D59</f>
        <v>0</v>
      </c>
      <c r="C41" s="137" t="str">
        <f t="shared" ca="1" si="3"/>
        <v>Vollständig</v>
      </c>
      <c r="D41" s="88" t="str">
        <f>IF(H41=1,"Click here to answer question 6 for Tungsten","")</f>
        <v/>
      </c>
      <c r="E41" s="17" t="s">
        <v>13</v>
      </c>
      <c r="F41" s="85">
        <f>F26</f>
        <v>0</v>
      </c>
      <c r="G41" s="63">
        <f t="shared" si="8"/>
        <v>1</v>
      </c>
      <c r="H41" s="64">
        <f t="shared" si="9"/>
        <v>0</v>
      </c>
      <c r="I41" s="132" t="str">
        <f ca="1">OFFSET(L!$C$1,MATCH("Checker"&amp;"Comp",L!$A:$A,0)-1,SL,,)</f>
        <v>Vollständig</v>
      </c>
      <c r="J41" s="16" t="e">
        <f ca="1">OFFSET(L!$C$1,MATCH("Checker"&amp;ADDRESS(ROW(),COLUMN(),4),L!$A:$A,0)-1,SL,,)</f>
        <v>#N/A</v>
      </c>
    </row>
    <row r="42" spans="1:10" ht="63.75">
      <c r="A42" s="80" t="str">
        <f ca="1">Declaration!B61</f>
        <v>7) Sind alle anwendbaren Informationen über Verhüttungsbetriebe oder Verarbeitungsunternehmen, die Ihr Unternehmen erhalten hat, in dieser Erklärung genannt worden?(*)</v>
      </c>
      <c r="B42" s="83"/>
      <c r="C42" s="83"/>
      <c r="D42" s="87"/>
      <c r="E42" s="17" t="s">
        <v>16</v>
      </c>
      <c r="F42" s="84"/>
    </row>
    <row r="43" spans="1:10" ht="39">
      <c r="A43" s="81" t="str">
        <f ca="1">Declaration!B62</f>
        <v>Cobalt</v>
      </c>
      <c r="B43" s="80">
        <f>Declaration!D62</f>
        <v>0</v>
      </c>
      <c r="C43" s="137" t="str">
        <f t="shared" ca="1" si="3"/>
        <v>Vollständig</v>
      </c>
      <c r="D43" s="232" t="str">
        <f>IF(H43=1,"Click here to answer question 7 for Cobalt","")</f>
        <v/>
      </c>
      <c r="E43" s="17" t="s">
        <v>15</v>
      </c>
      <c r="F43" s="85">
        <f>F23</f>
        <v>0</v>
      </c>
      <c r="G43" s="63">
        <f t="shared" si="8"/>
        <v>1</v>
      </c>
      <c r="H43" s="64">
        <f t="shared" si="9"/>
        <v>0</v>
      </c>
      <c r="I43" s="132" t="str">
        <f ca="1">OFFSET(L!$C$1,MATCH("Checker"&amp;"Comp",L!$A:$A,0)-1,SL,,)</f>
        <v>Vollständig</v>
      </c>
      <c r="J43" s="16" t="str">
        <f ca="1">OFFSET(L!$C$1,MATCH("Checker"&amp;ADDRESS(ROW(),COLUMN(),4),L!$A:$A,0)-1,SL,,)</f>
        <v>Geben Sie in der Reiterzelle D62 der Erklärung an, ob alle Informationen über Cobalt-Schmelzhütten zur Verfügung gestellt worden sind</v>
      </c>
    </row>
    <row r="44" spans="1:10" ht="39">
      <c r="A44" s="81" t="str">
        <f ca="1">Declaration!B63</f>
        <v>Glimmer(*)</v>
      </c>
      <c r="B44" s="80" t="str">
        <f>Declaration!D63</f>
        <v>Yes</v>
      </c>
      <c r="C44" s="137" t="str">
        <f t="shared" ca="1" si="3"/>
        <v>Vollständig</v>
      </c>
      <c r="D44" s="89" t="str">
        <f>IF(H44=1,"Click here to answer question 7 for Mica","")</f>
        <v/>
      </c>
      <c r="E44" s="17" t="s">
        <v>15</v>
      </c>
      <c r="F44" s="85">
        <f>F24</f>
        <v>1</v>
      </c>
      <c r="G44" s="63">
        <f t="shared" si="8"/>
        <v>0</v>
      </c>
      <c r="H44" s="64">
        <f t="shared" si="9"/>
        <v>0</v>
      </c>
      <c r="I44" s="132" t="str">
        <f ca="1">OFFSET(L!$C$1,MATCH("Checker"&amp;"Comp",L!$A:$A,0)-1,SL,,)</f>
        <v>Vollständig</v>
      </c>
      <c r="J44" s="16" t="str">
        <f ca="1">OFFSET(L!$C$1,MATCH("Checker"&amp;ADDRESS(ROW(),COLUMN(),4),L!$A:$A,0)-1,SL,,)</f>
        <v>Geben Sie in der Reiterzelle D63 der Erklärung an, ob alle Informationen über Glimmerverarbeiter zur Verfügung gestellt worden sind</v>
      </c>
    </row>
    <row r="45" spans="1:10" ht="39" hidden="1" customHeight="1">
      <c r="A45" s="81">
        <f ca="1">Declaration!B64</f>
        <v>0</v>
      </c>
      <c r="B45" s="80">
        <f>Declaration!D64</f>
        <v>0</v>
      </c>
      <c r="C45" s="137" t="str">
        <f t="shared" ca="1" si="3"/>
        <v>Vollständig</v>
      </c>
      <c r="D45" s="89" t="str">
        <f>IF(H45=1,"Click here to answer question 7 for Gold","")</f>
        <v/>
      </c>
      <c r="E45" s="17" t="s">
        <v>15</v>
      </c>
      <c r="F45" s="85">
        <f>F25</f>
        <v>0</v>
      </c>
      <c r="G45" s="63">
        <f t="shared" si="8"/>
        <v>1</v>
      </c>
      <c r="H45" s="64">
        <f t="shared" si="9"/>
        <v>0</v>
      </c>
      <c r="I45" s="132" t="str">
        <f ca="1">OFFSET(L!$C$1,MATCH("Checker"&amp;"Comp",L!$A:$A,0)-1,SL,,)</f>
        <v>Vollständig</v>
      </c>
      <c r="J45" s="16" t="s">
        <v>56</v>
      </c>
    </row>
    <row r="46" spans="1:10" ht="39" hidden="1" customHeight="1">
      <c r="A46" s="81">
        <f ca="1">Declaration!B65</f>
        <v>0</v>
      </c>
      <c r="B46" s="80">
        <f>Declaration!D65</f>
        <v>0</v>
      </c>
      <c r="C46" s="137" t="str">
        <f t="shared" ca="1" si="3"/>
        <v>Vollständig</v>
      </c>
      <c r="D46" s="89" t="str">
        <f>IF(H46=1,"Click here to answer question 7 for Tungsten","")</f>
        <v/>
      </c>
      <c r="E46" s="17" t="s">
        <v>15</v>
      </c>
      <c r="F46" s="85">
        <f>F26</f>
        <v>0</v>
      </c>
      <c r="G46" s="63">
        <f t="shared" si="8"/>
        <v>1</v>
      </c>
      <c r="H46" s="64">
        <f t="shared" si="9"/>
        <v>0</v>
      </c>
      <c r="I46" s="132" t="str">
        <f ca="1">OFFSET(L!$C$1,MATCH("Checker"&amp;"Comp",L!$A:$A,0)-1,SL,,)</f>
        <v>Vollständig</v>
      </c>
    </row>
    <row r="47" spans="1:10" ht="25.5">
      <c r="A47" s="80" t="str">
        <f ca="1">Declaration!B68</f>
        <v>Frage</v>
      </c>
      <c r="B47" s="83"/>
      <c r="C47" s="83"/>
      <c r="D47" s="87"/>
      <c r="E47" s="17" t="s">
        <v>18</v>
      </c>
      <c r="F47" s="84"/>
      <c r="G47" s="84"/>
      <c r="H47" s="84"/>
    </row>
    <row r="48" spans="1:10" ht="39">
      <c r="A48" s="80" t="str">
        <f ca="1">Declaration!B69</f>
        <v>A. Haben Sie eine Richtlinie zur verantwortungsvollen Beschaffung von Mineralien aufgestellt?</v>
      </c>
      <c r="B48" s="80" t="str">
        <f>Declaration!D69</f>
        <v>Yes</v>
      </c>
      <c r="C48" s="137" t="str">
        <f t="shared" ca="1" si="3"/>
        <v>Vollständig</v>
      </c>
      <c r="D48" s="230" t="str">
        <f>IF(H48=1,"Click here to answer question (A)","")</f>
        <v/>
      </c>
      <c r="E48" s="17" t="s">
        <v>15</v>
      </c>
      <c r="F48" s="85">
        <f>IF(SUM(F$23:F$24)=0,0,1)</f>
        <v>1</v>
      </c>
      <c r="G48" s="63">
        <f t="shared" si="8"/>
        <v>0</v>
      </c>
      <c r="H48" s="64">
        <f t="shared" si="9"/>
        <v>0</v>
      </c>
      <c r="I48" s="132" t="str">
        <f ca="1">OFFSET(L!$C$1,MATCH("Checker"&amp;"Comp",L!$A:$A,0)-1,SL,,)</f>
        <v>Vollständig</v>
      </c>
      <c r="J48" s="16" t="str">
        <f ca="1">OFFSET(L!$C$1,MATCH("Checker"&amp;ADDRESS(ROW(),COLUMN(),4),L!$A:$A,0)-1,SL,,)</f>
        <v>Geben Sie in Zelle D69 der Erklärung an, ob Ihr Unternehmen Ihre Richtlinie zur konfliktfreien Mineralienbeschaffung auf seiner Website öffentlich verfügbar gemacht hat</v>
      </c>
    </row>
    <row r="49" spans="1:12" ht="51">
      <c r="A49" s="80" t="str">
        <f ca="1">Declaration!B71</f>
        <v>B. Ist Ihre Richtlinie zur verantwortungsvollen Beschaffung von Mineralien auf Ihrer Website einsehbar? (Hinweis – Bei „Ja“ hat der Benutzer die URL im Anmerkungsfeld anzugeben.)</v>
      </c>
      <c r="B49" s="80" t="str">
        <f>Declaration!D71</f>
        <v>Yes</v>
      </c>
      <c r="C49" s="137" t="str">
        <f ca="1">IF(H49=1,J49,I49)</f>
        <v>Vollständig</v>
      </c>
      <c r="D49" s="195" t="str">
        <f>IF(H49=1,"Click here to answer question (B)","")</f>
        <v/>
      </c>
      <c r="E49" s="17" t="s">
        <v>15</v>
      </c>
      <c r="F49" s="85">
        <f t="shared" ref="F49:F58" si="10">F$48</f>
        <v>1</v>
      </c>
      <c r="G49" s="63">
        <f t="shared" si="8"/>
        <v>0</v>
      </c>
      <c r="H49" s="64">
        <f t="shared" si="9"/>
        <v>0</v>
      </c>
      <c r="I49" s="132" t="str">
        <f ca="1">OFFSET(L!$C$1,MATCH("Checker"&amp;"Comp",L!$A:$A,0)-1,SL,,)</f>
        <v>Vollständig</v>
      </c>
      <c r="J49" s="16" t="str">
        <f ca="1">OFFSET(L!$C$1,MATCH("Checker"&amp;ADDRESS(ROW(),COLUMN(),4),L!$A:$A,0)-1,SL,,)</f>
        <v>Geben Sie in Zelle D71 der Erklärung an, ob Ihr Unternehmen Ihre Richtlinie zur konfliktfreien Mineralieneschaffung auf seiner Website öffentlich verfügbar gemacht hat</v>
      </c>
    </row>
    <row r="50" spans="1:12" ht="39">
      <c r="A50" s="80" t="s">
        <v>57</v>
      </c>
      <c r="B50" s="80" t="str">
        <f>Declaration!G71</f>
        <v>https://www.xbk-kabel.de/wp-content/uploads/2023/11/Code-of-Conduct_14.10.2023.pdf</v>
      </c>
      <c r="C50" s="80" t="str">
        <f ca="1">IF(H50=1,J50,I50)</f>
        <v>Vollständig</v>
      </c>
      <c r="D50" s="206" t="str">
        <f>IF(H50=1,"Click here to answer question (C)","")</f>
        <v/>
      </c>
      <c r="E50" s="17" t="s">
        <v>15</v>
      </c>
      <c r="F50" s="85">
        <f>IF(AND(F49=1,B49="Yes"),1,0)</f>
        <v>1</v>
      </c>
      <c r="G50" s="63">
        <f>IF(LEN(B50)&gt;1,0,1)</f>
        <v>0</v>
      </c>
      <c r="H50" s="64">
        <f>F50*G50</f>
        <v>0</v>
      </c>
      <c r="I50" s="132" t="str">
        <f ca="1">OFFSET(L!$C$1,MATCH("Checker"&amp;"Comp",L!$A:$A,0)-1,SL,,)</f>
        <v>Vollständig</v>
      </c>
      <c r="J50" s="16" t="str">
        <f ca="1">OFFSET(L!$C$1,MATCH("Checker"&amp;ADDRESS(ROW(),COLUMN(),4),L!$A:$A,0)-1,SL,,)</f>
        <v xml:space="preserve">Geben Sie in der Arbeitsblattzelle G71 der Erklärung den URL an, falls Sie Frage B mit „Ja“ beantworten. Das Format des URL sollte „www.companyname.com“ entsprechen </v>
      </c>
    </row>
    <row r="51" spans="1:12" ht="67.5" customHeight="1">
      <c r="A51" s="80" t="str">
        <f ca="1">Declaration!B73</f>
        <v>C. Verlangen Sie von Ihren direkten Lieferanten, das Cobalt von Verhüttungsbetrieben oder den natürlichen Glimmer von Verarbeitungsunternehmen zu beziehen, deren Sorgfaltspflichtpraktiken von einem unabhängigen Prüfungsprogramm einer dritten Partei überprüft worden sind?</v>
      </c>
      <c r="B51" s="83"/>
      <c r="C51" s="83"/>
      <c r="D51" s="87"/>
      <c r="E51" s="17" t="s">
        <v>15</v>
      </c>
      <c r="F51" s="85"/>
      <c r="G51" s="63"/>
      <c r="H51" s="64"/>
      <c r="I51" s="132"/>
      <c r="J51" s="16" t="e">
        <f ca="1">OFFSET(L!$C$1,MATCH("Checker"&amp;ADDRESS(ROW(),COLUMN(),4),L!$A:$A,0)-1,SL,,)</f>
        <v>#N/A</v>
      </c>
    </row>
    <row r="52" spans="1:12" ht="15.75">
      <c r="A52" s="80" t="str">
        <f ca="1">Declaration!B74</f>
        <v>Cobalt</v>
      </c>
      <c r="B52" s="80">
        <f>Declaration!D74</f>
        <v>0</v>
      </c>
      <c r="C52" s="137" t="str">
        <f t="shared" ca="1" si="3"/>
        <v>Vollständig</v>
      </c>
      <c r="D52" s="195" t="str">
        <f>IF(H52=1,"Click here to answer question (C)","")</f>
        <v/>
      </c>
      <c r="E52" s="17"/>
      <c r="F52" s="85">
        <f>F23*F$48</f>
        <v>0</v>
      </c>
      <c r="G52" s="63">
        <f t="shared" si="8"/>
        <v>1</v>
      </c>
      <c r="H52" s="64">
        <f t="shared" si="9"/>
        <v>0</v>
      </c>
      <c r="I52" s="132" t="str">
        <f ca="1">OFFSET(L!$C$1,MATCH("Checker"&amp;"Comp",L!$A:$A,0)-1,SL,,)</f>
        <v>Vollständig</v>
      </c>
      <c r="J52" s="16" t="str">
        <f ca="1">OFFSET(L!$C$1,MATCH("Checker"&amp;ADDRESS(ROW(),COLUMN(),4),L!$A:$A,0)-1,SL,,)</f>
        <v>Geben Sie in Zelle D74 der Erklärung an, ob Sie von Ihren direkten Lieferanten verlangen Cobalt, bei Schmelzhütten einzukaufen, deren Due-Diligence-Praktiken von unabhängigen Prüfungsprogramm Dritter überprüft worden sind</v>
      </c>
    </row>
    <row r="53" spans="1:12" ht="15.75">
      <c r="A53" s="80" t="str">
        <f ca="1">Declaration!B75</f>
        <v>Glimmer(*)</v>
      </c>
      <c r="B53" s="80" t="str">
        <f>Declaration!D75</f>
        <v>Yes</v>
      </c>
      <c r="C53" s="137" t="str">
        <f t="shared" ca="1" si="3"/>
        <v>Vollständig</v>
      </c>
      <c r="D53" s="195" t="str">
        <f>IF(H53=1,"Click here to answer question (C)","")</f>
        <v/>
      </c>
      <c r="E53" s="17"/>
      <c r="F53" s="85">
        <f>F24*F$48</f>
        <v>1</v>
      </c>
      <c r="G53" s="63">
        <f t="shared" si="8"/>
        <v>0</v>
      </c>
      <c r="H53" s="64">
        <f t="shared" si="9"/>
        <v>0</v>
      </c>
      <c r="I53" s="132" t="str">
        <f ca="1">OFFSET(L!$C$1,MATCH("Checker"&amp;"Comp",L!$A:$A,0)-1,SL,,)</f>
        <v>Vollständig</v>
      </c>
      <c r="J53" s="16" t="str">
        <f ca="1">OFFSET(L!$C$1,MATCH("Checker"&amp;ADDRESS(ROW(),COLUMN(),4),L!$A:$A,0)-1,SL,,)</f>
        <v>Geben Sie in Zelle D74 der Erklärung an, ob Sie von Ihren direkten Lieferanten verlangen Glimmer, bei Schmelzhütten einzukaufen, deren Due-Diligence-Praktiken von unabhängigen Prüfungsprogramm Dritter überprüft worden sind</v>
      </c>
    </row>
    <row r="54" spans="1:12" ht="39">
      <c r="A54" s="80" t="str">
        <f ca="1">Declaration!B77</f>
        <v>D. Haben Sie Sorgfaltspflichtmaßnahmen für verantwortungsvolle Beschaffung in Kraft gesetzt?</v>
      </c>
      <c r="B54" s="80" t="str">
        <f>Declaration!D77</f>
        <v>Yes</v>
      </c>
      <c r="C54" s="137" t="str">
        <f ca="1">IF(H54=1,J54,I54)</f>
        <v>Vollständig</v>
      </c>
      <c r="D54" s="195" t="str">
        <f>IF(H54=1,"Click here to answer question (D)","")</f>
        <v/>
      </c>
      <c r="E54" s="17" t="s">
        <v>15</v>
      </c>
      <c r="F54" s="85">
        <f t="shared" si="10"/>
        <v>1</v>
      </c>
      <c r="G54" s="63">
        <f t="shared" si="8"/>
        <v>0</v>
      </c>
      <c r="H54" s="64">
        <f t="shared" si="9"/>
        <v>0</v>
      </c>
      <c r="I54" s="132" t="str">
        <f ca="1">OFFSET(L!$C$1,MATCH("Checker"&amp;"Comp",L!$A:$A,0)-1,SL,,)</f>
        <v>Vollständig</v>
      </c>
      <c r="J54" s="16" t="str">
        <f ca="1">OFFSET(L!$C$1,MATCH("Checker"&amp;ADDRESS(ROW(),COLUMN(),4),L!$A:$A,0)-1,SL,,)</f>
        <v>Geben Sie in der Reiterzelle D77 der Erklärung an, ob Sie von Ihren Lieferanten Namen von Schmelzhütten verlangen</v>
      </c>
    </row>
    <row r="55" spans="1:12" ht="39">
      <c r="A55" s="80" t="str">
        <f ca="1">Declaration!B79</f>
        <v>E. Führt Ihr Unternehmen Lieferkettenumfragen bei Ihren relevanten Lieferanten zu Cobalt bzw. natürlichen Glimmer durch?</v>
      </c>
      <c r="B55" s="80" t="str">
        <f>IF(Declaration!D79="No",Declaration!D79,IF(Declaration!D79="Yes, in conformance with IPC1755 (e.g. EMRT)",Declaration!D79,IF(Declaration!D79="Yes, Using Other Format (Describe)",Declaration!G79,0)))</f>
        <v>E-Mail</v>
      </c>
      <c r="C55" s="137" t="str">
        <f t="shared" ca="1" si="3"/>
        <v>Vollständig</v>
      </c>
      <c r="D55" s="195" t="str">
        <f>IF(H55=1,"Click here to answer question (E)","")</f>
        <v/>
      </c>
      <c r="E55" s="17" t="s">
        <v>15</v>
      </c>
      <c r="F55" s="85">
        <f t="shared" si="10"/>
        <v>1</v>
      </c>
      <c r="G55" s="63">
        <f>IF(B55=0,1,0)</f>
        <v>0</v>
      </c>
      <c r="H55" s="64">
        <f t="shared" si="9"/>
        <v>0</v>
      </c>
      <c r="I55" s="132" t="str">
        <f ca="1">OFFSET(L!$C$1,MATCH("Checker"&amp;"Comp",L!$A:$A,0)-1,SL,,)</f>
        <v>Vollständig</v>
      </c>
      <c r="J55" s="16" t="str">
        <f ca="1">OFFSET(L!$C$1,MATCH("Checker"&amp;ADDRESS(ROW(),COLUMN(),4),L!$A:$A,0)-1,SL,,)</f>
        <v>Geben Sie in der Reiterzelle D79 der Erklärung an, ob Sie Umfragen zur Lieferkette zu Kobalt oder natürlicher Glimmer durchführen</v>
      </c>
    </row>
    <row r="56" spans="1:12" ht="38.25" hidden="1" customHeight="1">
      <c r="A56" s="80"/>
      <c r="B56" s="80"/>
      <c r="C56" s="137"/>
      <c r="D56" s="86"/>
      <c r="E56" s="17"/>
      <c r="F56" s="85"/>
      <c r="G56" s="63"/>
      <c r="H56" s="64"/>
      <c r="I56" s="132"/>
    </row>
    <row r="57" spans="1:12" ht="39">
      <c r="A57" s="80" t="str">
        <f ca="1">Declaration!B81</f>
        <v>F. Prüfen Sie die Sorgfaltspflichtangaben, die Sie von Ihren Lieferanten erhalten, gegen die Erwartungen Ihres Unternehmens?</v>
      </c>
      <c r="B57" s="80" t="str">
        <f>Declaration!D81</f>
        <v>Yes</v>
      </c>
      <c r="C57" s="137" t="str">
        <f ca="1">IF(H57=1,J57,I57)</f>
        <v>Vollständig</v>
      </c>
      <c r="D57" s="195" t="str">
        <f>IF(H57=1,"Click here to answer question (F)","")</f>
        <v/>
      </c>
      <c r="E57" s="17" t="s">
        <v>15</v>
      </c>
      <c r="F57" s="85">
        <f t="shared" si="10"/>
        <v>1</v>
      </c>
      <c r="G57" s="63">
        <f>IF(B57=0,1,0)</f>
        <v>0</v>
      </c>
      <c r="H57" s="64">
        <f t="shared" si="9"/>
        <v>0</v>
      </c>
      <c r="I57" s="132" t="str">
        <f ca="1">OFFSET(L!$C$1,MATCH("Checker"&amp;"Comp",L!$A:$A,0)-1,SL,,)</f>
        <v>Vollständig</v>
      </c>
      <c r="J57" s="16" t="str">
        <f ca="1">OFFSET(L!$C$1,MATCH("Checker"&amp;ADDRESS(ROW(),COLUMN(),4),L!$A:$A,0)-1,SL,,)</f>
        <v>Geben Sie in der Reiterzelle D81 der Erklärung an, ob Sie Antworten der Lieferanten auf die Anforderungen Ihres Unternehmens überprüfen</v>
      </c>
    </row>
    <row r="58" spans="1:12" ht="39">
      <c r="A58" s="80" t="str">
        <f ca="1">Declaration!B83</f>
        <v>G. Umfasst Ihr Prüfverfahren die Überwachung von Abhilfemaßnahmen?</v>
      </c>
      <c r="B58" s="80" t="str">
        <f>Declaration!D83</f>
        <v>No</v>
      </c>
      <c r="C58" s="137" t="str">
        <f t="shared" ca="1" si="3"/>
        <v>Vollständig</v>
      </c>
      <c r="D58" s="195" t="str">
        <f>IF(H58=1,"Click here to answer question (G)","")</f>
        <v/>
      </c>
      <c r="E58" s="17" t="s">
        <v>15</v>
      </c>
      <c r="F58" s="85">
        <f t="shared" si="10"/>
        <v>1</v>
      </c>
      <c r="G58" s="63">
        <f t="shared" si="8"/>
        <v>0</v>
      </c>
      <c r="H58" s="64">
        <f t="shared" si="9"/>
        <v>0</v>
      </c>
      <c r="I58" s="132" t="str">
        <f ca="1">OFFSET(L!$C$1,MATCH("Checker"&amp;"Comp",L!$A:$A,0)-1,SL,,)</f>
        <v>Vollständig</v>
      </c>
      <c r="J58" s="16" t="str">
        <f ca="1">OFFSET(L!$C$1,MATCH("Checker"&amp;ADDRESS(ROW(),COLUMN(),4),L!$A:$A,0)-1,SL,,)</f>
        <v>Geben Sie in der Reiterzelle D83 der Erklärung an, ob Ihr Prüfungsverfahren ein Abhilfemaßnahmen-Management umfasst</v>
      </c>
    </row>
    <row r="59" spans="1:12" ht="39">
      <c r="A59" s="81" t="s">
        <v>58</v>
      </c>
      <c r="B59" s="80" t="str">
        <f>IF(G59=1,"No products or item numbers listed","One or more product / item numbers have been provided")</f>
        <v>No products or item numbers listed</v>
      </c>
      <c r="C59" s="80" t="str">
        <f ca="1">IF(H59=1,J59,I59)</f>
        <v>Vollständig</v>
      </c>
      <c r="D59" s="195" t="str">
        <f>IF(H59=1,"Click here to enter detail on Product List tab","")</f>
        <v/>
      </c>
      <c r="E59" s="17" t="s">
        <v>15</v>
      </c>
      <c r="F59" s="85">
        <f>IF(B5=Declaration!Q9,1,0)</f>
        <v>0</v>
      </c>
      <c r="G59" s="63">
        <f>IF('Product List'!B6="",1,0)</f>
        <v>1</v>
      </c>
      <c r="H59" s="64">
        <f>F59*G59</f>
        <v>0</v>
      </c>
      <c r="I59" s="132" t="str">
        <f ca="1">OFFSET(L!$C$1,MATCH("Checker"&amp;"Comp",L!$A:$A,0)-1,SL,,)</f>
        <v>Vollständig</v>
      </c>
      <c r="J59" s="16">
        <f ca="1">OFFSET(L!$C$1,MATCH("Checker"&amp;ADDRESS(ROW(),COLUMN(),4),L!$A:$A,0)-1,SL,,)</f>
        <v>0</v>
      </c>
    </row>
    <row r="60" spans="1:12" ht="39">
      <c r="A60" s="136" t="s">
        <v>59</v>
      </c>
      <c r="B60" s="80"/>
      <c r="C60" s="137" t="str">
        <f ca="1">IF(H60=1,J60,I60)</f>
        <v>Vollständig</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Vollständig</v>
      </c>
      <c r="J60" s="16" t="str">
        <f ca="1">OFFSET(L!$C$1,MATCH("Checker"&amp;ADDRESS(ROW(),COLUMN(),4),L!$A:$A,0)-1,SL,,)</f>
        <v xml:space="preserve">Geben Sie im Reiter „Smelter List“ eine Liste von Cobalt-Schmelzhütten ein, die Material für die Lieferkette beitragen  </v>
      </c>
      <c r="K60" s="135">
        <f>IF(H15&gt;0,1,0)</f>
        <v>0</v>
      </c>
      <c r="L60" s="16" t="e">
        <f ca="1">OFFSET(L!$C$1,MATCH("Checker"&amp;ADDRESS(ROW(),COLUMN(),4),L!$A:$A,0)-1,SL,,)</f>
        <v>#N/A</v>
      </c>
    </row>
    <row r="61" spans="1:12" ht="39">
      <c r="A61" s="136" t="s">
        <v>60</v>
      </c>
      <c r="B61" s="80"/>
      <c r="C61" s="137" t="str">
        <f ca="1">IF(H61=1,J61,I61)</f>
        <v>Vollständig</v>
      </c>
      <c r="D61" s="222" t="str">
        <f>IF(H61=0,"","Click here to provide smelter information")</f>
        <v/>
      </c>
      <c r="E61" s="17" t="s">
        <v>15</v>
      </c>
      <c r="F61" s="85">
        <f>F24</f>
        <v>1</v>
      </c>
      <c r="G61" s="63">
        <f>IF(AND(COUNTIF(SmelterIdetifiedForMetal,"Mica")&gt;0,COUNTIF('Smelter List'!AB$5:AB$2500,"Mica?*")&gt;0),0,1)</f>
        <v>0</v>
      </c>
      <c r="H61" s="64">
        <f>F61*G61</f>
        <v>0</v>
      </c>
      <c r="I61" s="132" t="str">
        <f ca="1">OFFSET(L!$C$1,MATCH("Checker"&amp;"Comp",L!$A:$A,0)-1,SL,,)</f>
        <v>Vollständig</v>
      </c>
      <c r="J61" s="16" t="str">
        <f ca="1">OFFSET(L!$C$1,MATCH("Checker"&amp;ADDRESS(ROW(),COLUMN(),4),L!$A:$A,0)-1,SL,,)</f>
        <v xml:space="preserve">Geben Sie im Reiter „Smelter List“ eine Liste von Glimmerverarbeiter ein, die Material für die Lieferkette beitragen  </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Vollständig</v>
      </c>
      <c r="K62" s="135"/>
    </row>
    <row r="63" spans="1:12" ht="41.1" hidden="1" customHeight="1">
      <c r="A63" s="81"/>
      <c r="B63" s="80"/>
      <c r="C63" s="80"/>
      <c r="D63" s="86"/>
      <c r="E63" s="17" t="s">
        <v>15</v>
      </c>
      <c r="F63" s="85"/>
      <c r="G63" s="63"/>
      <c r="H63" s="64"/>
      <c r="I63" s="132" t="str">
        <f ca="1">OFFSET(L!$C$1,MATCH("Checker"&amp;"Comp",L!$A:$A,0)-1,SL,,)</f>
        <v>Vollständig</v>
      </c>
      <c r="K63" s="135"/>
    </row>
    <row r="64" spans="1:12" ht="25.5">
      <c r="A64" s="142" t="s">
        <v>61</v>
      </c>
      <c r="B64" s="80"/>
      <c r="C64" s="142" t="str">
        <f ca="1">IF(F64=0,J64,IF(G64=0,I64,L64))</f>
        <v>Vollständig</v>
      </c>
      <c r="D64" s="86"/>
      <c r="E64" s="17"/>
      <c r="F64" s="85">
        <f ca="1">IF(COUNTIF('Smelter List'!$C:$C,"Smelter Not Listed")&gt;0,1,0)</f>
        <v>1</v>
      </c>
      <c r="G64" s="63" cm="1">
        <f t="array" aca="1" ref="G64" ca="1">IF(OR(SUMPRODUCT(('Smelter List'!$C:$C="Smelter not listed")*('Smelter List'!$D:$D=""))&gt;0,SUMPRODUCT(('Smelter List'!$C:$C="Smelter not listed")*('Smelter List'!$E:$E=""))&gt;0),1,0)</f>
        <v>0</v>
      </c>
      <c r="H64" s="64">
        <f ca="1">F64*G64</f>
        <v>0</v>
      </c>
      <c r="I64" s="132" t="str">
        <f ca="1">OFFSET(L!$C$1,MATCH("Checker"&amp;"Comp",L!$A:$A,0)-1,SL,,)</f>
        <v>Vollständig</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Abschluss nur erforderlich, wenn die Ebene "Produkt (oder eine Liste von Produkten)" auf der "Erklärung" Arbeitsblatt ausgewählt wurde</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Produkt- oder Artikelnummer (*)</v>
      </c>
      <c r="C5" s="124" t="str">
        <f ca="1">OFFSET(L!$C$1,MATCH("Product List"&amp;ADDRESS(ROW(),COLUMN(),4),L!$A:$A,0)-1,SL,,)</f>
        <v>Produkt- oder Artikelbeschreibung</v>
      </c>
      <c r="D5" s="65" t="str">
        <f ca="1">OFFSET(L!$C$1,MATCH("Product List"&amp;ADDRESS(ROW(),COLUMN(),4),L!$A:$A,0)-1,SL,,)</f>
        <v>Kommentare</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Metall</v>
      </c>
      <c r="B4" s="159" t="str">
        <f ca="1">OFFSET(L!$C$1,MATCH("Smelter Look-up"&amp;ADDRESS(ROW(),COLUMN(),4),L!$A:$A,0)-1,SL,,)</f>
        <v>Schmelzhüttensuche (*)</v>
      </c>
      <c r="C4" s="159" t="str">
        <f ca="1">OFFSET(L!$C$1,MATCH("Smelter Look-up"&amp;ADDRESS(ROW(),COLUMN(),4),L!$A:$A,0)-1,SL,,)</f>
        <v>Standard Schmelzhütten Namen</v>
      </c>
      <c r="D4" s="159" t="str">
        <f ca="1">OFFSET(L!$C$1,MATCH("Smelter Look-up"&amp;ADDRESS(ROW(),COLUMN(),4),L!$A:$A,0)-1,SL,,)</f>
        <v>Schmelzhütte: Land</v>
      </c>
      <c r="E4" s="159" t="str">
        <f ca="1">OFFSET(L!$C$1,MATCH("Smelter Look-up"&amp;ADDRESS(ROW(),COLUMN(),4),L!$A:$A,0)-1,SL,,)</f>
        <v>Schmelzhütten-ID</v>
      </c>
      <c r="F4" s="159" t="str">
        <f ca="1">OFFSET(L!$C$1,MATCH("Smelter Look-up"&amp;ADDRESS(ROW(),COLUMN(),4),L!$A:$A,0)-1,SL,,)</f>
        <v>Quelle der Schmelzhütte Id-Nummer</v>
      </c>
      <c r="G4" s="159" t="str">
        <f ca="1">OFFSET(L!$C$1,MATCH("Smelter Look-up"&amp;ADDRESS(ROW(),COLUMN(),4),L!$A:$A,0)-1,SL,,)</f>
        <v>Schmelzhütten: Straße</v>
      </c>
      <c r="H4" s="159" t="str">
        <f ca="1">OFFSET(L!$C$1,MATCH("Smelter Look-up"&amp;ADDRESS(ROW(),COLUMN(),4),L!$A:$A,0)-1,SL,,)</f>
        <v>Schmelzhütten: Stadt</v>
      </c>
      <c r="I4" s="159" t="str">
        <f ca="1">OFFSET(L!$C$1,MATCH("Smelter Look-up"&amp;ADDRESS(ROW(),COLUMN(),4),L!$A:$A,0)-1,SL,,)</f>
        <v>Schmelzhütten: Bundesland/Provinz</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9-0000-0000-000007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9-0000-0000-000008000000}"/>
  <customSheetViews>
    <customSheetView guid="{4BDF1A28-30D5-449D-B20E-D6C97EF9FAE1}" showAutoFilter="1">
      <selection activeCell="C174" sqref="C174"/>
      <pageMargins left="0" right="0" top="0" bottom="0" header="0" footer="0"/>
      <pageSetup paperSize="9" orientation="portrait"/>
      <autoFilter ref="B1:N1" xr:uid="{FDD64836-6469-4559-946C-8745062E2DE5}"/>
    </customSheetView>
    <customSheetView guid="{C59130F4-2E03-5E48-94CE-6E4A0484DB9E}" showAutoFilter="1">
      <selection activeCell="E4" sqref="E4"/>
      <pageMargins left="0" right="0" top="0" bottom="0" header="0" footer="0"/>
      <pageSetup paperSize="9" orientation="portrait"/>
      <headerFooter alignWithMargins="0"/>
      <autoFilter ref="B1:N1" xr:uid="{718731E3-C438-4E92-8FD0-67C568BA3CEA}"/>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5B870D11-5EF5-4466-B2CE-1A1DB804A147}"/>
    </customSheetView>
    <customSheetView guid="{C59130F4-2E03-5E48-94CE-6E4A0484DB9E}" showAutoFilter="1">
      <selection activeCell="C1" sqref="C1:D65536"/>
      <pageMargins left="0" right="0" top="0" bottom="0" header="0" footer="0"/>
      <pageSetup orientation="portrait"/>
      <headerFooter alignWithMargins="0"/>
      <autoFilter ref="B1:C1" xr:uid="{A1E53E24-77C0-4617-8D2D-784FB6894B55}"/>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Tabea Franco</cp:lastModifiedBy>
  <cp:revision/>
  <dcterms:created xsi:type="dcterms:W3CDTF">2010-06-21T21:00:23Z</dcterms:created>
  <dcterms:modified xsi:type="dcterms:W3CDTF">2025-05-20T09:55:36Z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